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75" windowWidth="15600" windowHeight="7545"/>
  </bookViews>
  <sheets>
    <sheet name="UR 1 2016 1177 Vårdguidens e-tj" sheetId="1" r:id="rId1"/>
    <sheet name="Resultat mottagningsnivå" sheetId="2" state="hidden" r:id="rId2"/>
    <sheet name="Antal ärenden in" sheetId="4" r:id="rId3"/>
    <sheet name="Vårdval per mottagning" sheetId="5" r:id="rId4"/>
  </sheets>
  <definedNames>
    <definedName name="_xlnm._FilterDatabase" localSheetId="2" hidden="1">'Antal ärenden in'!$A$1:$E$223</definedName>
  </definedNames>
  <calcPr calcId="145621"/>
</workbook>
</file>

<file path=xl/calcChain.xml><?xml version="1.0" encoding="utf-8"?>
<calcChain xmlns="http://schemas.openxmlformats.org/spreadsheetml/2006/main">
  <c r="G22" i="1" l="1"/>
  <c r="Q25" i="1" l="1"/>
  <c r="Q24" i="1"/>
  <c r="P23" i="1"/>
  <c r="O23" i="1"/>
  <c r="P21" i="1"/>
  <c r="Q21" i="1" s="1"/>
  <c r="Q20" i="1"/>
  <c r="Q19" i="1"/>
  <c r="Q18" i="1"/>
  <c r="Q17" i="1"/>
  <c r="Q16" i="1"/>
  <c r="Q15" i="1"/>
  <c r="Q14" i="1"/>
  <c r="Q13" i="1"/>
  <c r="Q12" i="1"/>
  <c r="Q11" i="1"/>
  <c r="P10" i="1"/>
  <c r="Q10" i="1" s="1"/>
  <c r="Q9" i="1"/>
  <c r="Q8" i="1"/>
  <c r="Q7" i="1"/>
  <c r="Q6" i="1"/>
  <c r="Q5" i="1"/>
  <c r="H23" i="1"/>
  <c r="I23" i="1" s="1"/>
  <c r="F23" i="1"/>
  <c r="G23" i="1" s="1"/>
  <c r="E21" i="1"/>
  <c r="H21" i="1" s="1"/>
  <c r="I21" i="1" s="1"/>
  <c r="H20" i="1"/>
  <c r="I20" i="1" s="1"/>
  <c r="F20" i="1"/>
  <c r="G20" i="1" s="1"/>
  <c r="H19" i="1"/>
  <c r="I19" i="1" s="1"/>
  <c r="F19" i="1"/>
  <c r="G19" i="1" s="1"/>
  <c r="H18" i="1"/>
  <c r="I18" i="1" s="1"/>
  <c r="F18" i="1"/>
  <c r="G18" i="1" s="1"/>
  <c r="H17" i="1"/>
  <c r="I17" i="1" s="1"/>
  <c r="F17" i="1"/>
  <c r="G17" i="1" s="1"/>
  <c r="H16" i="1"/>
  <c r="I16" i="1" s="1"/>
  <c r="F16" i="1"/>
  <c r="G16" i="1" s="1"/>
  <c r="H15" i="1"/>
  <c r="I15" i="1" s="1"/>
  <c r="F15" i="1"/>
  <c r="G15" i="1" s="1"/>
  <c r="H14" i="1"/>
  <c r="I14" i="1" s="1"/>
  <c r="F14" i="1"/>
  <c r="G14" i="1" s="1"/>
  <c r="H13" i="1"/>
  <c r="I13" i="1" s="1"/>
  <c r="F13" i="1"/>
  <c r="G13" i="1" s="1"/>
  <c r="H12" i="1"/>
  <c r="I12" i="1" s="1"/>
  <c r="F12" i="1"/>
  <c r="G12" i="1" s="1"/>
  <c r="H11" i="1"/>
  <c r="I11" i="1" s="1"/>
  <c r="F11" i="1"/>
  <c r="G11" i="1" s="1"/>
  <c r="H10" i="1"/>
  <c r="I10" i="1" s="1"/>
  <c r="F10" i="1"/>
  <c r="G10" i="1" s="1"/>
  <c r="H9" i="1"/>
  <c r="I9" i="1" s="1"/>
  <c r="F9" i="1"/>
  <c r="G9" i="1" s="1"/>
  <c r="H8" i="1"/>
  <c r="I8" i="1" s="1"/>
  <c r="F8" i="1"/>
  <c r="G8" i="1" s="1"/>
  <c r="H7" i="1"/>
  <c r="I7" i="1" s="1"/>
  <c r="F7" i="1"/>
  <c r="G7" i="1" s="1"/>
  <c r="H6" i="1"/>
  <c r="I6" i="1" s="1"/>
  <c r="F6" i="1"/>
  <c r="G6" i="1" s="1"/>
  <c r="H5" i="1"/>
  <c r="I5" i="1" s="1"/>
  <c r="F5" i="1"/>
  <c r="G5" i="1" s="1"/>
  <c r="E5" i="4"/>
  <c r="D5" i="4"/>
  <c r="Q23" i="1" l="1"/>
  <c r="F21" i="1"/>
  <c r="G21" i="1" s="1"/>
  <c r="C248" i="4"/>
  <c r="E223" i="4"/>
  <c r="C224" i="4"/>
  <c r="B224" i="4"/>
  <c r="D224" i="4" s="1"/>
  <c r="E224" i="4" l="1"/>
  <c r="E3" i="5"/>
  <c r="G3" i="5"/>
  <c r="H3" i="5" s="1"/>
  <c r="H51" i="5" s="1"/>
  <c r="I52" i="5" s="1"/>
  <c r="G4" i="5"/>
  <c r="I4" i="5" s="1"/>
  <c r="E5" i="5"/>
  <c r="G5" i="5"/>
  <c r="I5" i="5" s="1"/>
  <c r="E6" i="5"/>
  <c r="G6" i="5"/>
  <c r="I6" i="5"/>
  <c r="E7" i="5"/>
  <c r="G7" i="5"/>
  <c r="I7" i="5" s="1"/>
  <c r="E8" i="5"/>
  <c r="G8" i="5"/>
  <c r="I8" i="5" s="1"/>
  <c r="E9" i="5"/>
  <c r="G9" i="5"/>
  <c r="I9" i="5" s="1"/>
  <c r="E10" i="5"/>
  <c r="G10" i="5"/>
  <c r="I10" i="5" s="1"/>
  <c r="E11" i="5"/>
  <c r="G11" i="5"/>
  <c r="I11" i="5"/>
  <c r="E12" i="5"/>
  <c r="G12" i="5"/>
  <c r="I12" i="5" s="1"/>
  <c r="E13" i="5"/>
  <c r="G13" i="5"/>
  <c r="I13" i="5" s="1"/>
  <c r="E14" i="5"/>
  <c r="G14" i="5"/>
  <c r="I14" i="5" s="1"/>
  <c r="E15" i="5"/>
  <c r="G15" i="5"/>
  <c r="I15" i="5" s="1"/>
  <c r="E16" i="5"/>
  <c r="G16" i="5"/>
  <c r="I16" i="5" s="1"/>
  <c r="E17" i="5"/>
  <c r="G17" i="5"/>
  <c r="I17" i="5" s="1"/>
  <c r="E18" i="5"/>
  <c r="G18" i="5"/>
  <c r="I18" i="5"/>
  <c r="E19" i="5"/>
  <c r="G19" i="5"/>
  <c r="I19" i="5" s="1"/>
  <c r="E20" i="5"/>
  <c r="G20" i="5"/>
  <c r="I20" i="5" s="1"/>
  <c r="G21" i="5"/>
  <c r="I21" i="5" s="1"/>
  <c r="E22" i="5"/>
  <c r="G22" i="5"/>
  <c r="I22" i="5"/>
  <c r="E23" i="5"/>
  <c r="G23" i="5"/>
  <c r="I23" i="5" s="1"/>
  <c r="E24" i="5"/>
  <c r="G24" i="5"/>
  <c r="I24" i="5" s="1"/>
  <c r="E25" i="5"/>
  <c r="G25" i="5"/>
  <c r="I25" i="5" s="1"/>
  <c r="E26" i="5"/>
  <c r="G26" i="5"/>
  <c r="I26" i="5" s="1"/>
  <c r="E27" i="5"/>
  <c r="G27" i="5"/>
  <c r="I27" i="5" s="1"/>
  <c r="E28" i="5"/>
  <c r="G28" i="5"/>
  <c r="I28" i="5" s="1"/>
  <c r="E29" i="5"/>
  <c r="G29" i="5"/>
  <c r="I29" i="5" s="1"/>
  <c r="E30" i="5"/>
  <c r="G30" i="5"/>
  <c r="I30" i="5" s="1"/>
  <c r="E31" i="5"/>
  <c r="G31" i="5"/>
  <c r="I31" i="5" s="1"/>
  <c r="E32" i="5"/>
  <c r="G32" i="5"/>
  <c r="I32" i="5" s="1"/>
  <c r="E33" i="5"/>
  <c r="G33" i="5"/>
  <c r="I33" i="5" s="1"/>
  <c r="E34" i="5"/>
  <c r="G34" i="5"/>
  <c r="I34" i="5" s="1"/>
  <c r="E35" i="5"/>
  <c r="G35" i="5"/>
  <c r="I35" i="5" s="1"/>
  <c r="E36" i="5"/>
  <c r="G36" i="5"/>
  <c r="I36" i="5" s="1"/>
  <c r="E37" i="5"/>
  <c r="G37" i="5"/>
  <c r="I37" i="5" s="1"/>
  <c r="E38" i="5"/>
  <c r="G38" i="5"/>
  <c r="I38" i="5"/>
  <c r="E39" i="5"/>
  <c r="G39" i="5"/>
  <c r="I39" i="5" s="1"/>
  <c r="E40" i="5"/>
  <c r="G40" i="5"/>
  <c r="I40" i="5" s="1"/>
  <c r="E41" i="5"/>
  <c r="G41" i="5"/>
  <c r="I41" i="5" s="1"/>
  <c r="E42" i="5"/>
  <c r="G42" i="5"/>
  <c r="I42" i="5" s="1"/>
  <c r="E43" i="5"/>
  <c r="G43" i="5"/>
  <c r="I43" i="5" s="1"/>
  <c r="E44" i="5"/>
  <c r="G44" i="5"/>
  <c r="I44" i="5" s="1"/>
  <c r="E45" i="5"/>
  <c r="G45" i="5"/>
  <c r="I45" i="5"/>
  <c r="E46" i="5"/>
  <c r="G46" i="5"/>
  <c r="I46" i="5" s="1"/>
  <c r="E47" i="5"/>
  <c r="G47" i="5"/>
  <c r="I47" i="5" s="1"/>
  <c r="E48" i="5"/>
  <c r="G48" i="5"/>
  <c r="I48" i="5" s="1"/>
  <c r="E49" i="5"/>
  <c r="G49" i="5"/>
  <c r="I49" i="5" s="1"/>
  <c r="E50" i="5"/>
  <c r="G50" i="5"/>
  <c r="I50" i="5"/>
  <c r="C51" i="5"/>
  <c r="D51" i="5"/>
  <c r="F51" i="5"/>
  <c r="J51" i="5"/>
  <c r="I3" i="5" l="1"/>
  <c r="G51" i="5"/>
  <c r="I51" i="5"/>
  <c r="E51" i="5"/>
  <c r="D2" i="4"/>
  <c r="D3" i="4"/>
  <c r="E3" i="4"/>
  <c r="D4" i="4"/>
  <c r="D6" i="4"/>
  <c r="D7" i="4"/>
  <c r="E7" i="4"/>
  <c r="D8" i="4"/>
  <c r="E8" i="4"/>
  <c r="D9" i="4"/>
  <c r="D10" i="4"/>
  <c r="E10" i="4"/>
  <c r="D11" i="4"/>
  <c r="E11" i="4"/>
  <c r="D12" i="4"/>
  <c r="E12" i="4"/>
  <c r="D13" i="4"/>
  <c r="E13" i="4"/>
  <c r="D14" i="4"/>
  <c r="E14" i="4"/>
  <c r="D15" i="4"/>
  <c r="E15" i="4"/>
  <c r="D16" i="4"/>
  <c r="E16" i="4"/>
  <c r="D17" i="4"/>
  <c r="D18" i="4"/>
  <c r="E18" i="4"/>
  <c r="D19" i="4"/>
  <c r="E19" i="4"/>
  <c r="D20" i="4"/>
  <c r="D21" i="4"/>
  <c r="E21" i="4"/>
  <c r="D22" i="4"/>
  <c r="E22" i="4"/>
  <c r="D23" i="4"/>
  <c r="E23" i="4"/>
  <c r="D24" i="4"/>
  <c r="E24" i="4"/>
  <c r="D25" i="4"/>
  <c r="E25" i="4"/>
  <c r="D26" i="4"/>
  <c r="E26" i="4"/>
  <c r="D27" i="4"/>
  <c r="E27" i="4"/>
  <c r="D28" i="4"/>
  <c r="E28" i="4"/>
  <c r="D29" i="4"/>
  <c r="E29" i="4"/>
  <c r="D31" i="4"/>
  <c r="E31" i="4"/>
  <c r="D32" i="4"/>
  <c r="D34" i="4"/>
  <c r="D36" i="4"/>
  <c r="D38" i="4"/>
  <c r="E38" i="4"/>
  <c r="D39" i="4"/>
  <c r="E39" i="4"/>
  <c r="D40" i="4"/>
  <c r="E40" i="4"/>
  <c r="D41" i="4"/>
  <c r="E41" i="4"/>
  <c r="D42" i="4"/>
  <c r="E42" i="4"/>
  <c r="D43" i="4"/>
  <c r="E43" i="4"/>
  <c r="D44" i="4"/>
  <c r="E44" i="4"/>
  <c r="D45" i="4"/>
  <c r="E45" i="4"/>
  <c r="D46" i="4"/>
  <c r="E46" i="4"/>
  <c r="D47" i="4"/>
  <c r="E47" i="4"/>
  <c r="D48" i="4"/>
  <c r="E48" i="4"/>
  <c r="D49" i="4"/>
  <c r="E49" i="4"/>
  <c r="D50" i="4"/>
  <c r="E50" i="4"/>
  <c r="D51" i="4"/>
  <c r="E51" i="4"/>
  <c r="D52" i="4"/>
  <c r="E52" i="4"/>
  <c r="D53" i="4"/>
  <c r="E53" i="4"/>
  <c r="D54" i="4"/>
  <c r="E54" i="4"/>
  <c r="D55" i="4"/>
  <c r="E55" i="4"/>
  <c r="D56" i="4"/>
  <c r="E56" i="4"/>
  <c r="D57" i="4"/>
  <c r="E57" i="4"/>
  <c r="D58" i="4"/>
  <c r="E58" i="4"/>
  <c r="D59" i="4"/>
  <c r="E59" i="4"/>
  <c r="D60" i="4"/>
  <c r="E60" i="4"/>
  <c r="D61" i="4"/>
  <c r="E61" i="4"/>
  <c r="D62" i="4"/>
  <c r="E62" i="4"/>
  <c r="D63" i="4"/>
  <c r="E63" i="4"/>
  <c r="D64" i="4"/>
  <c r="E64" i="4"/>
  <c r="D65" i="4"/>
  <c r="E65" i="4"/>
  <c r="D66" i="4"/>
  <c r="E66" i="4"/>
  <c r="D67" i="4"/>
  <c r="E67" i="4"/>
  <c r="D68" i="4"/>
  <c r="E68" i="4"/>
  <c r="D69" i="4"/>
  <c r="D70" i="4"/>
  <c r="D71" i="4"/>
  <c r="D72" i="4"/>
  <c r="E72" i="4"/>
  <c r="D73" i="4"/>
  <c r="D74" i="4"/>
  <c r="D75" i="4"/>
  <c r="E75" i="4"/>
  <c r="D76" i="4"/>
  <c r="E76" i="4"/>
  <c r="D77" i="4"/>
  <c r="E77" i="4"/>
  <c r="D78" i="4"/>
  <c r="E78" i="4"/>
  <c r="D79" i="4"/>
  <c r="E79" i="4"/>
  <c r="D80" i="4"/>
  <c r="E80" i="4"/>
  <c r="D82" i="4"/>
  <c r="E82" i="4"/>
  <c r="D84" i="4"/>
  <c r="E84" i="4"/>
  <c r="D85" i="4"/>
  <c r="E85" i="4"/>
  <c r="D86" i="4"/>
  <c r="E86" i="4"/>
  <c r="D87" i="4"/>
  <c r="E87" i="4"/>
  <c r="D88" i="4"/>
  <c r="E88" i="4"/>
  <c r="D89" i="4"/>
  <c r="E89" i="4"/>
  <c r="D91" i="4"/>
  <c r="E91" i="4"/>
  <c r="D92" i="4"/>
  <c r="E92" i="4"/>
  <c r="D93" i="4"/>
  <c r="E93" i="4"/>
  <c r="D94" i="4"/>
  <c r="E94" i="4"/>
  <c r="D95" i="4"/>
  <c r="E95" i="4"/>
  <c r="D96" i="4"/>
  <c r="D97" i="4"/>
  <c r="E97" i="4"/>
  <c r="D98" i="4"/>
  <c r="E98" i="4"/>
  <c r="D99" i="4"/>
  <c r="E99" i="4"/>
  <c r="D100" i="4"/>
  <c r="E100" i="4"/>
  <c r="D101" i="4"/>
  <c r="E101" i="4"/>
  <c r="D102" i="4"/>
  <c r="E102" i="4"/>
  <c r="D103" i="4"/>
  <c r="E103" i="4"/>
  <c r="D104" i="4"/>
  <c r="E104" i="4"/>
  <c r="D105" i="4"/>
  <c r="E105" i="4"/>
  <c r="D106" i="4"/>
  <c r="E106" i="4"/>
  <c r="D107" i="4"/>
  <c r="E107" i="4"/>
  <c r="D108" i="4"/>
  <c r="E108" i="4"/>
  <c r="D109" i="4"/>
  <c r="E109" i="4"/>
  <c r="D110" i="4"/>
  <c r="E110" i="4"/>
  <c r="D111" i="4"/>
  <c r="D112" i="4"/>
  <c r="E112" i="4"/>
  <c r="D113" i="4"/>
  <c r="E113" i="4"/>
  <c r="D114" i="4"/>
  <c r="E114" i="4"/>
  <c r="D115" i="4"/>
  <c r="E115" i="4"/>
  <c r="D116" i="4"/>
  <c r="E116" i="4"/>
  <c r="D117" i="4"/>
  <c r="E117" i="4"/>
  <c r="D118" i="4"/>
  <c r="E118" i="4"/>
  <c r="D119" i="4"/>
  <c r="E119" i="4"/>
  <c r="D120" i="4"/>
  <c r="E120" i="4"/>
  <c r="D121" i="4"/>
  <c r="D122" i="4"/>
  <c r="E122" i="4"/>
  <c r="D124" i="4"/>
  <c r="E124" i="4"/>
  <c r="D125" i="4"/>
  <c r="D126" i="4"/>
  <c r="E126" i="4"/>
  <c r="D127" i="4"/>
  <c r="D128" i="4"/>
  <c r="E128" i="4"/>
  <c r="D129" i="4"/>
  <c r="E129" i="4"/>
  <c r="D130" i="4"/>
  <c r="D131" i="4"/>
  <c r="E131" i="4"/>
  <c r="D132" i="4"/>
  <c r="E132" i="4"/>
  <c r="D133" i="4"/>
  <c r="E133" i="4"/>
  <c r="D134" i="4"/>
  <c r="E134" i="4"/>
  <c r="D136" i="4"/>
  <c r="E136" i="4"/>
  <c r="D137" i="4"/>
  <c r="E137" i="4"/>
  <c r="D138" i="4"/>
  <c r="E138" i="4"/>
  <c r="D139" i="4"/>
  <c r="E139" i="4"/>
  <c r="D140" i="4"/>
  <c r="E140" i="4"/>
  <c r="D141" i="4"/>
  <c r="E141" i="4"/>
  <c r="D142" i="4"/>
  <c r="D144" i="4"/>
  <c r="E144" i="4"/>
  <c r="D145" i="4"/>
  <c r="E145" i="4"/>
  <c r="D146" i="4"/>
  <c r="E146" i="4"/>
  <c r="D147" i="4"/>
  <c r="E147" i="4"/>
  <c r="D148" i="4"/>
  <c r="E148" i="4"/>
  <c r="D149" i="4"/>
  <c r="E149" i="4"/>
  <c r="D150" i="4"/>
  <c r="E150" i="4"/>
  <c r="D151" i="4"/>
  <c r="E151" i="4"/>
  <c r="D152" i="4"/>
  <c r="E152" i="4"/>
  <c r="D153" i="4"/>
  <c r="D155" i="4"/>
  <c r="E155" i="4"/>
  <c r="D156" i="4"/>
  <c r="E156" i="4"/>
  <c r="D157" i="4"/>
  <c r="E157" i="4"/>
  <c r="D158" i="4"/>
  <c r="E158" i="4"/>
  <c r="D159" i="4"/>
  <c r="E159" i="4"/>
  <c r="D160" i="4"/>
  <c r="E160" i="4"/>
  <c r="D161" i="4"/>
  <c r="E161" i="4"/>
  <c r="D162" i="4"/>
  <c r="E162" i="4"/>
  <c r="D163" i="4"/>
  <c r="E163" i="4"/>
  <c r="D164" i="4"/>
  <c r="E164" i="4"/>
  <c r="D165" i="4"/>
  <c r="E165" i="4"/>
  <c r="D166" i="4"/>
  <c r="E166" i="4"/>
  <c r="D167" i="4"/>
  <c r="E167" i="4"/>
  <c r="D168" i="4"/>
  <c r="E168" i="4"/>
  <c r="D169" i="4"/>
  <c r="E169" i="4"/>
  <c r="D170" i="4"/>
  <c r="E170" i="4"/>
  <c r="D172" i="4"/>
  <c r="E172" i="4"/>
  <c r="D173" i="4"/>
  <c r="E173" i="4"/>
  <c r="D174" i="4"/>
  <c r="E174" i="4"/>
  <c r="D175" i="4"/>
  <c r="E175" i="4"/>
  <c r="D176" i="4"/>
  <c r="E176" i="4"/>
  <c r="D177" i="4"/>
  <c r="E177" i="4"/>
  <c r="D178" i="4"/>
  <c r="E178" i="4"/>
  <c r="D179" i="4"/>
  <c r="E179" i="4"/>
  <c r="D180" i="4"/>
  <c r="E180" i="4"/>
  <c r="D181" i="4"/>
  <c r="E181" i="4"/>
  <c r="D182" i="4"/>
  <c r="E182" i="4"/>
  <c r="D184" i="4"/>
  <c r="E184" i="4"/>
  <c r="D186" i="4"/>
  <c r="E186" i="4"/>
  <c r="D187" i="4"/>
  <c r="E187" i="4"/>
  <c r="D188" i="4"/>
  <c r="E188" i="4"/>
  <c r="D190" i="4"/>
  <c r="E190" i="4"/>
  <c r="D191" i="4"/>
  <c r="E191" i="4"/>
  <c r="D192" i="4"/>
  <c r="E192" i="4"/>
  <c r="D194" i="4"/>
  <c r="E194" i="4"/>
  <c r="D195" i="4"/>
  <c r="E195" i="4"/>
  <c r="D196" i="4"/>
  <c r="E196" i="4"/>
  <c r="D198" i="4"/>
  <c r="E198" i="4"/>
  <c r="D199" i="4"/>
  <c r="E199" i="4"/>
  <c r="D200" i="4"/>
  <c r="E200" i="4"/>
  <c r="D201" i="4"/>
  <c r="E201" i="4"/>
  <c r="D203" i="4"/>
  <c r="E203" i="4"/>
  <c r="D204" i="4"/>
  <c r="E204" i="4"/>
  <c r="D205" i="4"/>
  <c r="E205" i="4"/>
  <c r="D206" i="4"/>
  <c r="E206" i="4"/>
  <c r="D207" i="4"/>
  <c r="E207" i="4"/>
  <c r="D208" i="4"/>
  <c r="E208" i="4"/>
  <c r="D209" i="4"/>
  <c r="E209" i="4"/>
  <c r="D210" i="4"/>
  <c r="E210" i="4"/>
  <c r="D211" i="4"/>
  <c r="E211" i="4"/>
  <c r="D212" i="4"/>
  <c r="E212" i="4"/>
  <c r="D213" i="4"/>
  <c r="E213" i="4"/>
  <c r="D214" i="4"/>
  <c r="E214" i="4"/>
  <c r="D215" i="4"/>
  <c r="E215" i="4"/>
  <c r="D216" i="4"/>
  <c r="E216" i="4"/>
  <c r="D217" i="4"/>
  <c r="E217" i="4"/>
  <c r="D218" i="4"/>
  <c r="E218" i="4"/>
  <c r="D221" i="4"/>
  <c r="E221" i="4"/>
  <c r="D222" i="4"/>
  <c r="E222" i="4"/>
  <c r="D223" i="4"/>
  <c r="C227" i="4"/>
  <c r="C232" i="4"/>
  <c r="C241" i="4"/>
  <c r="C252" i="4"/>
  <c r="C253" i="4"/>
  <c r="C255" i="4"/>
  <c r="AB4" i="2" l="1"/>
  <c r="AB5" i="2"/>
  <c r="AB6" i="2"/>
  <c r="AB7"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3" i="2"/>
  <c r="Y3" i="2"/>
  <c r="N149" i="2"/>
  <c r="N150" i="2"/>
  <c r="N151" i="2"/>
  <c r="N152" i="2"/>
  <c r="N153" i="2"/>
  <c r="N154" i="2"/>
  <c r="N155" i="2"/>
  <c r="N159" i="2"/>
  <c r="N160" i="2"/>
  <c r="N161" i="2"/>
  <c r="N162" i="2"/>
  <c r="N163" i="2"/>
  <c r="N164" i="2"/>
  <c r="N165" i="2"/>
  <c r="N166" i="2"/>
  <c r="N167" i="2"/>
  <c r="N169" i="2"/>
  <c r="N170" i="2"/>
  <c r="N171" i="2"/>
  <c r="N172" i="2"/>
  <c r="N173" i="2"/>
  <c r="N174" i="2"/>
  <c r="N175" i="2"/>
  <c r="N176" i="2"/>
  <c r="N181" i="2"/>
  <c r="N183" i="2"/>
  <c r="N184" i="2"/>
  <c r="N185" i="2"/>
  <c r="N187" i="2"/>
  <c r="N188" i="2"/>
  <c r="N189" i="2"/>
  <c r="N193" i="2"/>
  <c r="N194" i="2"/>
  <c r="N195" i="2"/>
  <c r="N196" i="2"/>
  <c r="N198" i="2"/>
  <c r="N199" i="2"/>
  <c r="N200" i="2"/>
  <c r="N201" i="2"/>
  <c r="N202" i="2"/>
  <c r="N203" i="2"/>
  <c r="N204" i="2"/>
  <c r="N205" i="2"/>
  <c r="N209" i="2"/>
  <c r="N210" i="2"/>
  <c r="N211" i="2"/>
  <c r="N212" i="2"/>
  <c r="N213" i="2"/>
  <c r="N214" i="2"/>
  <c r="N215" i="2"/>
  <c r="N216" i="2"/>
  <c r="N217" i="2"/>
  <c r="N218" i="2"/>
  <c r="N219" i="2"/>
  <c r="N220" i="2"/>
  <c r="N148" i="2"/>
  <c r="N112" i="2" l="1"/>
  <c r="N88" i="2"/>
  <c r="N89" i="2"/>
  <c r="N90" i="2"/>
  <c r="N91" i="2"/>
  <c r="N92" i="2"/>
  <c r="N93" i="2"/>
  <c r="N94" i="2"/>
  <c r="N98" i="2"/>
  <c r="N99" i="2"/>
  <c r="N100" i="2"/>
  <c r="N102" i="2"/>
  <c r="N103" i="2"/>
  <c r="N104" i="2"/>
  <c r="N105" i="2"/>
  <c r="N106" i="2"/>
  <c r="N107" i="2"/>
  <c r="N108" i="2"/>
  <c r="N110" i="2"/>
  <c r="N111" i="2"/>
  <c r="N117" i="2"/>
  <c r="N119" i="2"/>
  <c r="N122" i="2"/>
  <c r="N123" i="2"/>
  <c r="N124" i="2"/>
  <c r="N125" i="2"/>
  <c r="N126" i="2"/>
  <c r="N127" i="2"/>
  <c r="N130" i="2"/>
  <c r="N131" i="2"/>
  <c r="N132" i="2"/>
  <c r="N133" i="2"/>
  <c r="N134" i="2"/>
  <c r="N135" i="2"/>
  <c r="N136" i="2"/>
  <c r="N137" i="2"/>
  <c r="N138" i="2"/>
  <c r="N139" i="2"/>
  <c r="N140" i="2"/>
  <c r="N141" i="2"/>
  <c r="N142" i="2"/>
  <c r="N143" i="2"/>
  <c r="N144" i="2"/>
  <c r="N145" i="2"/>
  <c r="N61" i="2"/>
  <c r="N62" i="2"/>
  <c r="N63" i="2"/>
  <c r="N64" i="2"/>
  <c r="N65" i="2"/>
  <c r="N66" i="2"/>
  <c r="N68" i="2"/>
  <c r="N69" i="2"/>
  <c r="N70" i="2"/>
  <c r="N71" i="2"/>
  <c r="N72" i="2"/>
  <c r="N73" i="2"/>
  <c r="N74" i="2"/>
  <c r="N75" i="2"/>
  <c r="N76" i="2"/>
  <c r="N77" i="2"/>
  <c r="N78" i="2"/>
  <c r="N79" i="2"/>
  <c r="N80" i="2"/>
  <c r="N81" i="2"/>
  <c r="N82" i="2"/>
  <c r="N83" i="2"/>
  <c r="N60" i="2"/>
  <c r="N52" i="2" l="1"/>
  <c r="N53" i="2"/>
  <c r="N54" i="2"/>
  <c r="N56" i="2"/>
  <c r="N44" i="2" l="1"/>
  <c r="N43" i="2"/>
  <c r="N35" i="2"/>
  <c r="N4" i="2"/>
  <c r="N5" i="2"/>
  <c r="N6" i="2"/>
  <c r="N7" i="2"/>
  <c r="N8" i="2"/>
  <c r="N9" i="2"/>
  <c r="N10" i="2"/>
  <c r="N11" i="2"/>
  <c r="N12" i="2"/>
  <c r="N13" i="2"/>
  <c r="N14" i="2"/>
  <c r="N15" i="2"/>
  <c r="N16" i="2"/>
  <c r="N17" i="2"/>
  <c r="N18" i="2"/>
  <c r="N19" i="2"/>
  <c r="N20" i="2"/>
  <c r="N22" i="2"/>
  <c r="N23" i="2"/>
  <c r="N24" i="2"/>
  <c r="N25" i="2"/>
  <c r="N26" i="2"/>
  <c r="N27" i="2"/>
  <c r="N28" i="2"/>
  <c r="N29" i="2"/>
  <c r="N30" i="2"/>
  <c r="N31" i="2"/>
  <c r="N32" i="2"/>
  <c r="N33" i="2"/>
  <c r="N34" i="2"/>
  <c r="N36" i="2"/>
  <c r="N37" i="2"/>
  <c r="N38" i="2"/>
  <c r="N39" i="2"/>
  <c r="N40" i="2"/>
  <c r="N41" i="2"/>
  <c r="N42" i="2"/>
  <c r="N45" i="2"/>
  <c r="N46" i="2"/>
  <c r="N47" i="2"/>
  <c r="N48" i="2"/>
  <c r="N50" i="2"/>
  <c r="N3" i="2"/>
  <c r="F3" i="2"/>
  <c r="B49" i="2"/>
  <c r="N49" i="2" s="1"/>
  <c r="N57" i="2" l="1"/>
  <c r="T208" i="2"/>
  <c r="S216" i="2"/>
  <c r="S217" i="2"/>
  <c r="S218" i="2"/>
  <c r="S219" i="2"/>
  <c r="S220" i="2"/>
  <c r="S221" i="2"/>
  <c r="S208" i="2"/>
  <c r="S213" i="2"/>
  <c r="F221" i="2"/>
  <c r="T221" i="2" s="1"/>
  <c r="F220" i="2"/>
  <c r="T220" i="2" s="1"/>
  <c r="F219" i="2"/>
  <c r="T219" i="2" s="1"/>
  <c r="F218" i="2"/>
  <c r="T218" i="2" s="1"/>
  <c r="F217" i="2"/>
  <c r="T217" i="2" s="1"/>
  <c r="F216" i="2"/>
  <c r="T216" i="2" s="1"/>
  <c r="S192" i="2"/>
  <c r="S191" i="2"/>
  <c r="S190" i="2"/>
  <c r="S193" i="2"/>
  <c r="T197" i="2"/>
  <c r="P187" i="2"/>
  <c r="P188" i="2"/>
  <c r="P189" i="2"/>
  <c r="P193" i="2"/>
  <c r="P194" i="2"/>
  <c r="P195" i="2"/>
  <c r="P198" i="2"/>
  <c r="P199" i="2"/>
  <c r="P200" i="2"/>
  <c r="P201" i="2"/>
  <c r="P202" i="2"/>
  <c r="P203" i="2"/>
  <c r="P204" i="2"/>
  <c r="P205" i="2"/>
  <c r="P185" i="2"/>
  <c r="P181" i="2"/>
  <c r="S181" i="2"/>
  <c r="S183" i="2"/>
  <c r="S184" i="2"/>
  <c r="S185" i="2"/>
  <c r="S187" i="2"/>
  <c r="S188" i="2"/>
  <c r="S189" i="2"/>
  <c r="S194" i="2"/>
  <c r="S195" i="2"/>
  <c r="S197" i="2"/>
  <c r="S198" i="2"/>
  <c r="S199" i="2"/>
  <c r="S200" i="2"/>
  <c r="S201" i="2"/>
  <c r="S202" i="2"/>
  <c r="S203" i="2"/>
  <c r="S204" i="2"/>
  <c r="S205" i="2"/>
  <c r="F205" i="2"/>
  <c r="T205" i="2" s="1"/>
  <c r="F204" i="2"/>
  <c r="T204" i="2" s="1"/>
  <c r="F203" i="2"/>
  <c r="T203" i="2" s="1"/>
  <c r="F202" i="2"/>
  <c r="T202" i="2" s="1"/>
  <c r="F201" i="2"/>
  <c r="T201" i="2" s="1"/>
  <c r="F200" i="2"/>
  <c r="T200" i="2" s="1"/>
  <c r="F199" i="2"/>
  <c r="T199" i="2" s="1"/>
  <c r="F198" i="2"/>
  <c r="T198" i="2" s="1"/>
  <c r="F195" i="2"/>
  <c r="T195" i="2" s="1"/>
  <c r="F194" i="2"/>
  <c r="T194" i="2" s="1"/>
  <c r="F193" i="2"/>
  <c r="T193" i="2" s="1"/>
  <c r="F189" i="2"/>
  <c r="T189" i="2" s="1"/>
  <c r="F188" i="2"/>
  <c r="T188" i="2" s="1"/>
  <c r="F187" i="2"/>
  <c r="T187" i="2" s="1"/>
  <c r="F186" i="2"/>
  <c r="F185" i="2"/>
  <c r="T185" i="2" s="1"/>
  <c r="F184" i="2"/>
  <c r="F183" i="2"/>
  <c r="F182" i="2"/>
  <c r="F181" i="2"/>
  <c r="S180" i="2" l="1"/>
  <c r="V146" i="2" l="1"/>
  <c r="V178" i="2" s="1"/>
  <c r="V206" i="2" s="1"/>
  <c r="S149" i="2"/>
  <c r="S150" i="2"/>
  <c r="S151" i="2"/>
  <c r="S152" i="2"/>
  <c r="S153" i="2"/>
  <c r="S154" i="2"/>
  <c r="S155" i="2"/>
  <c r="S156" i="2"/>
  <c r="S157" i="2"/>
  <c r="S158" i="2"/>
  <c r="S159" i="2"/>
  <c r="S160" i="2"/>
  <c r="S161" i="2"/>
  <c r="S162" i="2"/>
  <c r="S163" i="2"/>
  <c r="S164" i="2"/>
  <c r="S165" i="2"/>
  <c r="S166" i="2"/>
  <c r="S167" i="2"/>
  <c r="S168" i="2"/>
  <c r="S169" i="2"/>
  <c r="S170" i="2"/>
  <c r="S171" i="2"/>
  <c r="S172" i="2"/>
  <c r="S173" i="2"/>
  <c r="S174" i="2"/>
  <c r="S175" i="2"/>
  <c r="S176" i="2"/>
  <c r="S148" i="2"/>
  <c r="T173" i="2"/>
  <c r="T181" i="2"/>
  <c r="T183" i="2"/>
  <c r="T184" i="2"/>
  <c r="P161" i="2"/>
  <c r="P162" i="2"/>
  <c r="P163" i="2"/>
  <c r="P164" i="2"/>
  <c r="P165" i="2"/>
  <c r="P166" i="2"/>
  <c r="P171" i="2"/>
  <c r="P172" i="2"/>
  <c r="P173" i="2"/>
  <c r="P174" i="2"/>
  <c r="P175" i="2"/>
  <c r="P176" i="2"/>
  <c r="F176" i="2"/>
  <c r="T176" i="2" s="1"/>
  <c r="F175" i="2"/>
  <c r="T175" i="2" s="1"/>
  <c r="F174" i="2"/>
  <c r="T174" i="2" s="1"/>
  <c r="F172" i="2"/>
  <c r="T172" i="2" s="1"/>
  <c r="F171" i="2"/>
  <c r="T171" i="2" s="1"/>
  <c r="F170" i="2"/>
  <c r="T170" i="2" s="1"/>
  <c r="F169" i="2"/>
  <c r="T169" i="2" s="1"/>
  <c r="F168" i="2"/>
  <c r="T168" i="2" s="1"/>
  <c r="F167" i="2"/>
  <c r="T167" i="2" s="1"/>
  <c r="F166" i="2"/>
  <c r="T166" i="2" s="1"/>
  <c r="F165" i="2"/>
  <c r="T165" i="2" s="1"/>
  <c r="F164" i="2"/>
  <c r="T164" i="2" s="1"/>
  <c r="F163" i="2"/>
  <c r="T163" i="2" s="1"/>
  <c r="F162" i="2"/>
  <c r="T162" i="2" s="1"/>
  <c r="F161" i="2"/>
  <c r="T161" i="2" s="1"/>
  <c r="F160" i="2"/>
  <c r="T160" i="2" s="1"/>
  <c r="F159" i="2"/>
  <c r="T159" i="2" s="1"/>
  <c r="F158" i="2"/>
  <c r="T158" i="2" s="1"/>
  <c r="F157" i="2"/>
  <c r="T157" i="2" s="1"/>
  <c r="F156" i="2"/>
  <c r="T156" i="2" s="1"/>
  <c r="F155" i="2"/>
  <c r="T155" i="2" s="1"/>
  <c r="F154" i="2"/>
  <c r="T154" i="2" s="1"/>
  <c r="F153" i="2"/>
  <c r="T153" i="2" s="1"/>
  <c r="F152" i="2"/>
  <c r="T152" i="2" s="1"/>
  <c r="F151" i="2"/>
  <c r="T151" i="2" s="1"/>
  <c r="F150" i="2"/>
  <c r="T150" i="2" s="1"/>
  <c r="F149" i="2"/>
  <c r="T149" i="2" s="1"/>
  <c r="F148" i="2"/>
  <c r="T148" i="2" s="1"/>
  <c r="S129" i="2"/>
  <c r="O126" i="2"/>
  <c r="T116" i="2"/>
  <c r="S116" i="2"/>
  <c r="P116" i="2"/>
  <c r="S113" i="2"/>
  <c r="Q89" i="2"/>
  <c r="S89" i="2" s="1"/>
  <c r="O89" i="2"/>
  <c r="S90" i="2"/>
  <c r="S91" i="2"/>
  <c r="S92" i="2"/>
  <c r="S93" i="2"/>
  <c r="S94" i="2"/>
  <c r="S95" i="2"/>
  <c r="S97" i="2"/>
  <c r="S98" i="2"/>
  <c r="S99" i="2"/>
  <c r="S100" i="2"/>
  <c r="S101" i="2"/>
  <c r="S102" i="2"/>
  <c r="S103" i="2"/>
  <c r="S104" i="2"/>
  <c r="S105" i="2"/>
  <c r="S106" i="2"/>
  <c r="S107" i="2"/>
  <c r="S108" i="2"/>
  <c r="S110" i="2"/>
  <c r="S111" i="2"/>
  <c r="S112" i="2"/>
  <c r="S114" i="2"/>
  <c r="S115" i="2"/>
  <c r="S117" i="2"/>
  <c r="S119" i="2"/>
  <c r="S120" i="2"/>
  <c r="S122" i="2"/>
  <c r="S123" i="2"/>
  <c r="S124" i="2"/>
  <c r="S125" i="2"/>
  <c r="S126" i="2"/>
  <c r="S127" i="2"/>
  <c r="S128" i="2"/>
  <c r="S130" i="2"/>
  <c r="S131" i="2"/>
  <c r="S132" i="2"/>
  <c r="S133" i="2"/>
  <c r="S134" i="2"/>
  <c r="S135" i="2"/>
  <c r="S137" i="2"/>
  <c r="S138" i="2"/>
  <c r="S139" i="2"/>
  <c r="S140" i="2"/>
  <c r="S141" i="2"/>
  <c r="S142" i="2"/>
  <c r="S143" i="2"/>
  <c r="S144" i="2"/>
  <c r="S145" i="2"/>
  <c r="S88" i="2"/>
  <c r="T95" i="2"/>
  <c r="T115" i="2"/>
  <c r="P135" i="2"/>
  <c r="P137" i="2"/>
  <c r="P138" i="2"/>
  <c r="P139" i="2"/>
  <c r="P140" i="2"/>
  <c r="P141" i="2"/>
  <c r="P142" i="2"/>
  <c r="P143" i="2"/>
  <c r="P144" i="2"/>
  <c r="P145" i="2"/>
  <c r="P104" i="2"/>
  <c r="P105" i="2"/>
  <c r="P106" i="2"/>
  <c r="P107" i="2"/>
  <c r="P108" i="2"/>
  <c r="P110" i="2"/>
  <c r="P111" i="2"/>
  <c r="P112" i="2"/>
  <c r="P114" i="2"/>
  <c r="P115" i="2"/>
  <c r="P117" i="2"/>
  <c r="P119" i="2"/>
  <c r="P120" i="2"/>
  <c r="P122" i="2"/>
  <c r="P123" i="2"/>
  <c r="P124" i="2"/>
  <c r="P125" i="2"/>
  <c r="P126" i="2"/>
  <c r="P127" i="2"/>
  <c r="P128" i="2"/>
  <c r="P134" i="2"/>
  <c r="P89" i="2"/>
  <c r="P90" i="2"/>
  <c r="P91" i="2"/>
  <c r="P92" i="2"/>
  <c r="P93" i="2"/>
  <c r="P94" i="2"/>
  <c r="P95" i="2"/>
  <c r="P97" i="2"/>
  <c r="P98" i="2"/>
  <c r="P99" i="2"/>
  <c r="P100" i="2"/>
  <c r="P101" i="2"/>
  <c r="P102" i="2"/>
  <c r="P103" i="2"/>
  <c r="P88" i="2"/>
  <c r="F145" i="2"/>
  <c r="T145" i="2" s="1"/>
  <c r="F144" i="2"/>
  <c r="T144" i="2" s="1"/>
  <c r="F143" i="2"/>
  <c r="T143" i="2" s="1"/>
  <c r="F142" i="2"/>
  <c r="T142" i="2" s="1"/>
  <c r="F141" i="2"/>
  <c r="T141" i="2" s="1"/>
  <c r="F140" i="2"/>
  <c r="T140" i="2" s="1"/>
  <c r="F139" i="2"/>
  <c r="T139" i="2" s="1"/>
  <c r="F138" i="2"/>
  <c r="T138" i="2" s="1"/>
  <c r="F137" i="2"/>
  <c r="T137" i="2" s="1"/>
  <c r="F135" i="2"/>
  <c r="T135" i="2" s="1"/>
  <c r="F134" i="2"/>
  <c r="T134" i="2" s="1"/>
  <c r="F133" i="2"/>
  <c r="T133" i="2" s="1"/>
  <c r="F132" i="2"/>
  <c r="T132" i="2" s="1"/>
  <c r="F131" i="2"/>
  <c r="T131" i="2" s="1"/>
  <c r="F130" i="2"/>
  <c r="T130" i="2" s="1"/>
  <c r="F129" i="2"/>
  <c r="T128" i="2" s="1"/>
  <c r="F127" i="2"/>
  <c r="T127" i="2" s="1"/>
  <c r="F126" i="2"/>
  <c r="T126" i="2" s="1"/>
  <c r="F125" i="2"/>
  <c r="T125" i="2" s="1"/>
  <c r="F124" i="2"/>
  <c r="T124" i="2" s="1"/>
  <c r="F123" i="2"/>
  <c r="T123" i="2" s="1"/>
  <c r="F122" i="2"/>
  <c r="T122" i="2" s="1"/>
  <c r="F121" i="2"/>
  <c r="F120" i="2"/>
  <c r="T120" i="2" s="1"/>
  <c r="F119" i="2"/>
  <c r="T119" i="2" s="1"/>
  <c r="F117" i="2"/>
  <c r="T117" i="2" s="1"/>
  <c r="F114" i="2"/>
  <c r="T114" i="2" s="1"/>
  <c r="F112" i="2"/>
  <c r="T112" i="2" s="1"/>
  <c r="F111" i="2"/>
  <c r="T111" i="2" s="1"/>
  <c r="F110" i="2"/>
  <c r="T110" i="2" s="1"/>
  <c r="F108" i="2"/>
  <c r="T108" i="2" s="1"/>
  <c r="F107" i="2"/>
  <c r="T107" i="2" s="1"/>
  <c r="F106" i="2"/>
  <c r="T106" i="2" s="1"/>
  <c r="F105" i="2"/>
  <c r="T105" i="2" s="1"/>
  <c r="F104" i="2"/>
  <c r="T104" i="2" s="1"/>
  <c r="F103" i="2"/>
  <c r="T103" i="2" s="1"/>
  <c r="F102" i="2"/>
  <c r="T102" i="2" s="1"/>
  <c r="F101" i="2"/>
  <c r="T101" i="2" s="1"/>
  <c r="F100" i="2"/>
  <c r="T100" i="2" s="1"/>
  <c r="F99" i="2"/>
  <c r="T99" i="2" s="1"/>
  <c r="F98" i="2"/>
  <c r="T98" i="2" s="1"/>
  <c r="F97" i="2"/>
  <c r="T97" i="2" s="1"/>
  <c r="F94" i="2"/>
  <c r="T94" i="2" s="1"/>
  <c r="F93" i="2"/>
  <c r="T93" i="2" s="1"/>
  <c r="F92" i="2"/>
  <c r="T92" i="2" s="1"/>
  <c r="F91" i="2"/>
  <c r="T91" i="2" s="1"/>
  <c r="F90" i="2"/>
  <c r="T90" i="2" s="1"/>
  <c r="F89" i="2"/>
  <c r="T89" i="2" s="1"/>
  <c r="F88" i="2"/>
  <c r="T88" i="2" s="1"/>
  <c r="S60" i="2"/>
  <c r="S61" i="2"/>
  <c r="S62" i="2"/>
  <c r="S63" i="2"/>
  <c r="S64" i="2"/>
  <c r="S65" i="2"/>
  <c r="S66" i="2"/>
  <c r="S67" i="2"/>
  <c r="S68" i="2"/>
  <c r="S69" i="2"/>
  <c r="S70" i="2"/>
  <c r="S71" i="2"/>
  <c r="S72" i="2"/>
  <c r="S73" i="2"/>
  <c r="S74" i="2"/>
  <c r="S75" i="2"/>
  <c r="S76" i="2"/>
  <c r="S77" i="2"/>
  <c r="S78" i="2"/>
  <c r="S79" i="2"/>
  <c r="S80" i="2"/>
  <c r="S81" i="2"/>
  <c r="S82" i="2"/>
  <c r="S83" i="2"/>
  <c r="S59" i="2"/>
  <c r="P63" i="2"/>
  <c r="P64" i="2"/>
  <c r="P65" i="2"/>
  <c r="P66" i="2"/>
  <c r="P67" i="2"/>
  <c r="P68" i="2"/>
  <c r="P69" i="2"/>
  <c r="P70" i="2"/>
  <c r="P71" i="2"/>
  <c r="P72" i="2"/>
  <c r="P73" i="2"/>
  <c r="P74" i="2"/>
  <c r="P76" i="2"/>
  <c r="P77" i="2"/>
  <c r="P78" i="2"/>
  <c r="P79" i="2"/>
  <c r="P80" i="2"/>
  <c r="P81" i="2"/>
  <c r="P82" i="2"/>
  <c r="P83" i="2"/>
  <c r="P60" i="2"/>
  <c r="P61" i="2"/>
  <c r="P62" i="2"/>
  <c r="P59" i="2"/>
  <c r="F83" i="2"/>
  <c r="T83" i="2" s="1"/>
  <c r="F82" i="2"/>
  <c r="T82" i="2" s="1"/>
  <c r="F81" i="2"/>
  <c r="T81" i="2" s="1"/>
  <c r="F80" i="2"/>
  <c r="T80" i="2" s="1"/>
  <c r="F79" i="2"/>
  <c r="T79" i="2" s="1"/>
  <c r="F78" i="2"/>
  <c r="T78" i="2" s="1"/>
  <c r="F77" i="2"/>
  <c r="T77" i="2" s="1"/>
  <c r="F76" i="2"/>
  <c r="T76" i="2" s="1"/>
  <c r="F75" i="2"/>
  <c r="T75" i="2" s="1"/>
  <c r="F74" i="2"/>
  <c r="T74" i="2" s="1"/>
  <c r="F73" i="2"/>
  <c r="T73" i="2" s="1"/>
  <c r="F72" i="2"/>
  <c r="T72" i="2" s="1"/>
  <c r="F71" i="2"/>
  <c r="T71" i="2" s="1"/>
  <c r="F70" i="2"/>
  <c r="T70" i="2" s="1"/>
  <c r="F69" i="2"/>
  <c r="T69" i="2" s="1"/>
  <c r="F68" i="2"/>
  <c r="T68" i="2" s="1"/>
  <c r="F67" i="2"/>
  <c r="T67" i="2" s="1"/>
  <c r="F66" i="2"/>
  <c r="T66" i="2" s="1"/>
  <c r="F65" i="2"/>
  <c r="T65" i="2" s="1"/>
  <c r="F64" i="2"/>
  <c r="T64" i="2" s="1"/>
  <c r="F63" i="2"/>
  <c r="T63" i="2" s="1"/>
  <c r="F62" i="2"/>
  <c r="T62" i="2" s="1"/>
  <c r="F61" i="2"/>
  <c r="T61" i="2" s="1"/>
  <c r="F60" i="2"/>
  <c r="T60" i="2" s="1"/>
  <c r="F59" i="2"/>
  <c r="T59" i="2" s="1"/>
  <c r="Y50" i="2" l="1"/>
  <c r="Y49" i="2"/>
  <c r="Y48" i="2"/>
  <c r="Y47" i="2"/>
  <c r="Y46" i="2"/>
  <c r="Y45" i="2"/>
  <c r="Y44" i="2"/>
  <c r="Y43" i="2"/>
  <c r="Y42" i="2"/>
  <c r="Y41" i="2"/>
  <c r="Y40" i="2"/>
  <c r="Y39" i="2"/>
  <c r="Y38" i="2"/>
  <c r="Y36" i="2"/>
  <c r="Y35" i="2"/>
  <c r="Y34" i="2"/>
  <c r="Y33" i="2"/>
  <c r="Y32" i="2"/>
  <c r="Y31" i="2"/>
  <c r="Y30" i="2"/>
  <c r="Y29" i="2"/>
  <c r="Y37" i="2"/>
  <c r="Y28" i="2"/>
  <c r="Y11" i="2"/>
  <c r="Y27" i="2"/>
  <c r="Y26" i="2"/>
  <c r="Y25" i="2"/>
  <c r="Y24" i="2"/>
  <c r="Y23" i="2"/>
  <c r="Y22" i="2"/>
  <c r="Y21" i="2"/>
  <c r="Y20" i="2"/>
  <c r="Y19" i="2"/>
  <c r="Y18" i="2"/>
  <c r="Y17" i="2"/>
  <c r="Y16" i="2"/>
  <c r="Y15" i="2"/>
  <c r="Y14" i="2"/>
  <c r="Y13" i="2"/>
  <c r="Y12" i="2"/>
  <c r="Y10" i="2"/>
  <c r="Y9" i="2"/>
  <c r="Y8" i="2"/>
  <c r="Y7" i="2"/>
  <c r="Y6" i="2"/>
  <c r="Y5" i="2"/>
  <c r="Y4" i="2"/>
  <c r="S21" i="2"/>
  <c r="S4" i="2"/>
  <c r="S5" i="2"/>
  <c r="S6" i="2"/>
  <c r="S7" i="2"/>
  <c r="S8" i="2"/>
  <c r="S9" i="2"/>
  <c r="S10" i="2"/>
  <c r="S11" i="2"/>
  <c r="S12" i="2"/>
  <c r="S13" i="2"/>
  <c r="S14" i="2"/>
  <c r="S15" i="2"/>
  <c r="S16" i="2"/>
  <c r="S17" i="2"/>
  <c r="S18" i="2"/>
  <c r="S19" i="2"/>
  <c r="S20"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3" i="2"/>
  <c r="P9" i="2"/>
  <c r="P10" i="2"/>
  <c r="P11" i="2"/>
  <c r="P12" i="2"/>
  <c r="P13" i="2"/>
  <c r="P14" i="2"/>
  <c r="P15" i="2"/>
  <c r="P16" i="2"/>
  <c r="P17" i="2"/>
  <c r="P19" i="2"/>
  <c r="P20" i="2"/>
  <c r="P22" i="2"/>
  <c r="P23" i="2"/>
  <c r="P24" i="2"/>
  <c r="P25" i="2"/>
  <c r="P26" i="2"/>
  <c r="P27" i="2"/>
  <c r="P28" i="2"/>
  <c r="P29" i="2"/>
  <c r="P30" i="2"/>
  <c r="P31" i="2"/>
  <c r="P32" i="2"/>
  <c r="P33" i="2"/>
  <c r="P34" i="2"/>
  <c r="P36" i="2"/>
  <c r="P37" i="2"/>
  <c r="P38" i="2"/>
  <c r="P39" i="2"/>
  <c r="P40" i="2"/>
  <c r="P41" i="2"/>
  <c r="P42" i="2"/>
  <c r="P43" i="2"/>
  <c r="P44" i="2"/>
  <c r="P45" i="2"/>
  <c r="P46" i="2"/>
  <c r="P47" i="2"/>
  <c r="P48" i="2"/>
  <c r="P49" i="2"/>
  <c r="P50" i="2"/>
  <c r="P57" i="2"/>
  <c r="P5" i="2"/>
  <c r="P6" i="2"/>
  <c r="P7" i="2"/>
  <c r="P8" i="2"/>
  <c r="P3" i="2"/>
  <c r="P4" i="2"/>
  <c r="Y51" i="2" l="1"/>
  <c r="F179" i="2" l="1"/>
  <c r="F56" i="2"/>
  <c r="T56" i="2" s="1"/>
  <c r="F55" i="2"/>
  <c r="T55" i="2" s="1"/>
  <c r="F54" i="2"/>
  <c r="T54" i="2" s="1"/>
  <c r="F53" i="2"/>
  <c r="T53" i="2" s="1"/>
  <c r="F52" i="2"/>
  <c r="T52" i="2" s="1"/>
  <c r="F51" i="2"/>
  <c r="T51" i="2" s="1"/>
  <c r="J50" i="2"/>
  <c r="F50" i="2"/>
  <c r="T50" i="2" s="1"/>
  <c r="J49" i="2"/>
  <c r="F49" i="2"/>
  <c r="T49" i="2" s="1"/>
  <c r="J48" i="2"/>
  <c r="F48" i="2"/>
  <c r="T48" i="2" s="1"/>
  <c r="J47" i="2"/>
  <c r="F47" i="2"/>
  <c r="T47" i="2" s="1"/>
  <c r="J46" i="2"/>
  <c r="F46" i="2"/>
  <c r="T46" i="2" s="1"/>
  <c r="J45" i="2"/>
  <c r="F45" i="2"/>
  <c r="T45" i="2" s="1"/>
  <c r="J44" i="2"/>
  <c r="F44" i="2"/>
  <c r="T44" i="2" s="1"/>
  <c r="J43" i="2"/>
  <c r="F43" i="2"/>
  <c r="T43" i="2" s="1"/>
  <c r="J42" i="2"/>
  <c r="F42" i="2"/>
  <c r="T42" i="2" s="1"/>
  <c r="J41" i="2"/>
  <c r="F41" i="2"/>
  <c r="T41" i="2" s="1"/>
  <c r="J40" i="2"/>
  <c r="F40" i="2"/>
  <c r="T40" i="2" s="1"/>
  <c r="J39" i="2"/>
  <c r="F39" i="2"/>
  <c r="T39" i="2" s="1"/>
  <c r="J38" i="2"/>
  <c r="F38" i="2"/>
  <c r="T38" i="2" s="1"/>
  <c r="J37" i="2"/>
  <c r="F37" i="2"/>
  <c r="T37" i="2" s="1"/>
  <c r="J36" i="2"/>
  <c r="F36" i="2"/>
  <c r="T36" i="2" s="1"/>
  <c r="J35" i="2"/>
  <c r="F35" i="2"/>
  <c r="J34" i="2"/>
  <c r="F34" i="2"/>
  <c r="T34" i="2" s="1"/>
  <c r="J33" i="2"/>
  <c r="F33" i="2"/>
  <c r="T33" i="2" s="1"/>
  <c r="J32" i="2"/>
  <c r="F32" i="2"/>
  <c r="T32" i="2" s="1"/>
  <c r="J31" i="2"/>
  <c r="F31" i="2"/>
  <c r="T31" i="2" s="1"/>
  <c r="J30" i="2"/>
  <c r="F30" i="2"/>
  <c r="T30" i="2" s="1"/>
  <c r="J29" i="2"/>
  <c r="F29" i="2"/>
  <c r="T29" i="2" s="1"/>
  <c r="J28" i="2"/>
  <c r="F28" i="2"/>
  <c r="T28" i="2" s="1"/>
  <c r="J27" i="2"/>
  <c r="F27" i="2"/>
  <c r="T27" i="2" s="1"/>
  <c r="J26" i="2"/>
  <c r="F26" i="2"/>
  <c r="T26" i="2" s="1"/>
  <c r="J25" i="2"/>
  <c r="F25" i="2"/>
  <c r="T25" i="2" s="1"/>
  <c r="J24" i="2"/>
  <c r="F24" i="2"/>
  <c r="T24" i="2" s="1"/>
  <c r="J23" i="2"/>
  <c r="F23" i="2"/>
  <c r="T23" i="2" s="1"/>
  <c r="J22" i="2"/>
  <c r="F22" i="2"/>
  <c r="T22" i="2" s="1"/>
  <c r="J20" i="2"/>
  <c r="F20" i="2"/>
  <c r="T20" i="2" s="1"/>
  <c r="J19" i="2"/>
  <c r="F19" i="2"/>
  <c r="T19" i="2" s="1"/>
  <c r="J18" i="2"/>
  <c r="F18" i="2"/>
  <c r="T18" i="2" s="1"/>
  <c r="J17" i="2"/>
  <c r="F17" i="2"/>
  <c r="T17" i="2" s="1"/>
  <c r="J16" i="2"/>
  <c r="F16" i="2"/>
  <c r="T16" i="2" s="1"/>
  <c r="J15" i="2"/>
  <c r="F15" i="2"/>
  <c r="T15" i="2" s="1"/>
  <c r="J14" i="2"/>
  <c r="F14" i="2"/>
  <c r="T14" i="2" s="1"/>
  <c r="J13" i="2"/>
  <c r="F13" i="2"/>
  <c r="T13" i="2" s="1"/>
  <c r="J12" i="2"/>
  <c r="F12" i="2"/>
  <c r="T12" i="2" s="1"/>
  <c r="J11" i="2"/>
  <c r="F11" i="2"/>
  <c r="T11" i="2" s="1"/>
  <c r="J10" i="2"/>
  <c r="F10" i="2"/>
  <c r="T10" i="2" s="1"/>
  <c r="J9" i="2"/>
  <c r="F9" i="2"/>
  <c r="T9" i="2" s="1"/>
  <c r="J8" i="2"/>
  <c r="F8" i="2"/>
  <c r="T8" i="2" s="1"/>
  <c r="J7" i="2"/>
  <c r="F7" i="2"/>
  <c r="T7" i="2" s="1"/>
  <c r="J6" i="2"/>
  <c r="F6" i="2"/>
  <c r="T6" i="2" s="1"/>
  <c r="J5" i="2"/>
  <c r="F5" i="2"/>
  <c r="T5" i="2" s="1"/>
  <c r="F4" i="2"/>
  <c r="T4" i="2" s="1"/>
  <c r="J3" i="2"/>
  <c r="T3" i="2"/>
</calcChain>
</file>

<file path=xl/comments1.xml><?xml version="1.0" encoding="utf-8"?>
<comments xmlns="http://schemas.openxmlformats.org/spreadsheetml/2006/main">
  <authors>
    <author>Tavelin Charlotte RK STAB</author>
  </authors>
  <commentList>
    <comment ref="I7" authorId="0">
      <text>
        <r>
          <rPr>
            <b/>
            <sz val="9"/>
            <color indexed="81"/>
            <rFont val="Tahoma"/>
            <family val="2"/>
          </rPr>
          <t>Tavelin Charlotte RK STAB:</t>
        </r>
        <r>
          <rPr>
            <sz val="9"/>
            <color indexed="81"/>
            <rFont val="Tahoma"/>
            <family val="2"/>
          </rPr>
          <t xml:space="preserve">
Stark grönt är uppnått mål!</t>
        </r>
      </text>
    </comment>
    <comment ref="I12" authorId="0">
      <text>
        <r>
          <rPr>
            <b/>
            <sz val="9"/>
            <color indexed="81"/>
            <rFont val="Tahoma"/>
            <family val="2"/>
          </rPr>
          <t>Tavelin Charlotte RK STAB:</t>
        </r>
        <r>
          <rPr>
            <sz val="9"/>
            <color indexed="81"/>
            <rFont val="Tahoma"/>
            <family val="2"/>
          </rPr>
          <t xml:space="preserve">
Detta är ökningen. Målet är att minst 50% av alla vårdval ska vara digitala. Se nedan under resultat och på fliken vårdval per mottagning</t>
        </r>
      </text>
    </comment>
    <comment ref="M12" authorId="0">
      <text>
        <r>
          <rPr>
            <b/>
            <sz val="9"/>
            <color indexed="81"/>
            <rFont val="Tahoma"/>
            <family val="2"/>
          </rPr>
          <t>Tavelin Charlotte RK STAB:</t>
        </r>
        <r>
          <rPr>
            <sz val="9"/>
            <color indexed="81"/>
            <rFont val="Tahoma"/>
            <family val="2"/>
          </rPr>
          <t xml:space="preserve">
Målet var att 50% av alla vårdval ska vara digitala. Resultat 2015= 25%.
Bara tre vårdcentraler nådde målet.</t>
        </r>
      </text>
    </comment>
    <comment ref="Q12" authorId="0">
      <text>
        <r>
          <rPr>
            <b/>
            <sz val="9"/>
            <color indexed="81"/>
            <rFont val="Tahoma"/>
            <family val="2"/>
          </rPr>
          <t>Tavelin Charlotte RK STAB:</t>
        </r>
        <r>
          <rPr>
            <sz val="9"/>
            <color indexed="81"/>
            <rFont val="Tahoma"/>
            <family val="2"/>
          </rPr>
          <t xml:space="preserve">
Målet var 50% av alla vårdval ska vara digitala. Resultat 2015= 25%.
Bara tre vårdcentreler nådde målet.</t>
        </r>
      </text>
    </comment>
  </commentList>
</comments>
</file>

<file path=xl/comments2.xml><?xml version="1.0" encoding="utf-8"?>
<comments xmlns="http://schemas.openxmlformats.org/spreadsheetml/2006/main">
  <authors>
    <author>Tavelin Charlotte RK STAB</author>
  </authors>
  <commentList>
    <comment ref="A224" authorId="0">
      <text>
        <r>
          <rPr>
            <b/>
            <sz val="9"/>
            <color indexed="81"/>
            <rFont val="Tahoma"/>
            <family val="2"/>
          </rPr>
          <t>Tavelin Charlotte RK STAB:</t>
        </r>
        <r>
          <rPr>
            <sz val="9"/>
            <color indexed="81"/>
            <rFont val="Tahoma"/>
            <family val="2"/>
          </rPr>
          <t xml:space="preserve">
Ärenden i bastjäsnterna såsom förnya recept, beställ tid, kontakt, frågor, råd osv dvs som vården besvarar manuellt.</t>
        </r>
      </text>
    </comment>
    <comment ref="E224" authorId="0">
      <text>
        <r>
          <rPr>
            <b/>
            <sz val="9"/>
            <color indexed="81"/>
            <rFont val="Tahoma"/>
            <family val="2"/>
          </rPr>
          <t>Tavelin Charlotte RK STAB:</t>
        </r>
        <r>
          <rPr>
            <sz val="9"/>
            <color indexed="81"/>
            <rFont val="Tahoma"/>
            <family val="2"/>
          </rPr>
          <t xml:space="preserve">
 50 procents ökning under kvrtal 1 2016 jämfört med kvartal1 2015. Ärenden i bastjäsnterna såsom förnya recept, beställ tid, kontakt, frågor, råd osv dvs som vården besvarar manuellt.</t>
        </r>
      </text>
    </comment>
  </commentList>
</comments>
</file>

<file path=xl/comments3.xml><?xml version="1.0" encoding="utf-8"?>
<comments xmlns="http://schemas.openxmlformats.org/spreadsheetml/2006/main">
  <authors>
    <author>Tavelin Charlotte RK STAB</author>
  </authors>
  <commentList>
    <comment ref="E51" authorId="0">
      <text>
        <r>
          <rPr>
            <b/>
            <sz val="9"/>
            <color indexed="81"/>
            <rFont val="Tahoma"/>
            <family val="2"/>
          </rPr>
          <t>Tavelin Charlotte RK STAB:</t>
        </r>
        <r>
          <rPr>
            <sz val="9"/>
            <color indexed="81"/>
            <rFont val="Tahoma"/>
            <family val="2"/>
          </rPr>
          <t xml:space="preserve">
Antalet vårdval via 1177 i procent kvartal 1 2015 jämfört med totalen vårdval</t>
        </r>
      </text>
    </comment>
    <comment ref="I51" authorId="0">
      <text>
        <r>
          <rPr>
            <b/>
            <sz val="9"/>
            <color indexed="81"/>
            <rFont val="Tahoma"/>
            <family val="2"/>
          </rPr>
          <t>Tavelin Charlotte RK STAB:</t>
        </r>
        <r>
          <rPr>
            <sz val="9"/>
            <color indexed="81"/>
            <rFont val="Tahoma"/>
            <family val="2"/>
          </rPr>
          <t xml:space="preserve">
Detta är resultatet kvrtal 1 2016 av antal vårdval via 1177 av de aktiva valen, dvs jämfört med blankettval men minus systemval</t>
        </r>
      </text>
    </comment>
    <comment ref="I52" authorId="0">
      <text>
        <r>
          <rPr>
            <b/>
            <sz val="9"/>
            <color indexed="81"/>
            <rFont val="Tahoma"/>
            <family val="2"/>
          </rPr>
          <t>Tavelin Charlotte RK STAB:</t>
        </r>
        <r>
          <rPr>
            <sz val="9"/>
            <color indexed="81"/>
            <rFont val="Tahoma"/>
            <family val="2"/>
          </rPr>
          <t xml:space="preserve">
Detta är resultatet i procent av antal vårdval via 1177 jämfört med totala antalet val vartal 1 2016</t>
        </r>
      </text>
    </comment>
  </commentList>
</comments>
</file>

<file path=xl/sharedStrings.xml><?xml version="1.0" encoding="utf-8"?>
<sst xmlns="http://schemas.openxmlformats.org/spreadsheetml/2006/main" count="710" uniqueCount="563">
  <si>
    <t>Av/omboka tid</t>
  </si>
  <si>
    <t>Basutbud</t>
  </si>
  <si>
    <t>Förnya recept</t>
  </si>
  <si>
    <t>B</t>
  </si>
  <si>
    <t>Beställa/boka tid</t>
  </si>
  <si>
    <t>Prov-rtgsvar</t>
  </si>
  <si>
    <t>Frågor/Rådgivning</t>
  </si>
  <si>
    <t>Hjälp oss att bli bättre</t>
  </si>
  <si>
    <t>Egenremisser</t>
  </si>
  <si>
    <t>Har min remiss kommit fram?</t>
  </si>
  <si>
    <t>Begära intyg</t>
  </si>
  <si>
    <t>Begära journalkopior</t>
  </si>
  <si>
    <t>Vaccination inför utlandsresa</t>
  </si>
  <si>
    <t>Råd/stöd ang levnadsvanor</t>
  </si>
  <si>
    <t>Journalspärr</t>
  </si>
  <si>
    <t>Klamydiatest</t>
  </si>
  <si>
    <t>Kvartal 1 2015</t>
  </si>
  <si>
    <t>Kvartal 1 2014</t>
  </si>
  <si>
    <t>Minskning/Ökning</t>
  </si>
  <si>
    <t xml:space="preserve">Antal ärenden totalt </t>
  </si>
  <si>
    <t>Kontakta mig/Meddelande till mottagningen</t>
  </si>
  <si>
    <t>Webbtidbokning - både integrerad och fristående tidbok</t>
  </si>
  <si>
    <t>Elektroniska vårdval</t>
  </si>
  <si>
    <t>Tittat på sina tider- via webbtidbok</t>
  </si>
  <si>
    <t>Förnya Recept</t>
  </si>
  <si>
    <t>Rådgivning/frågor</t>
  </si>
  <si>
    <t>Vårdval via 1177</t>
  </si>
  <si>
    <t>Totalt antal vårdval</t>
  </si>
  <si>
    <t>Andel val via 1177</t>
  </si>
  <si>
    <t xml:space="preserve">Amadeuskliniken Fyllinge                                                                                                                           </t>
  </si>
  <si>
    <t>Amadeuskliniken Söndrum</t>
  </si>
  <si>
    <t xml:space="preserve">Capio Citykliniken Halmstad                                                                                                                           </t>
  </si>
  <si>
    <t xml:space="preserve">Capio Familjeläkarna Skrea                                                                                                                                  </t>
  </si>
  <si>
    <t xml:space="preserve">Capio Familjeläkarna Söderbro/Glommen                                                                                                                       </t>
  </si>
  <si>
    <t xml:space="preserve">Capio Husläkarna Kungsbacka                                                                                                                                 </t>
  </si>
  <si>
    <t xml:space="preserve">Capio Husläkarna Vallda                                                                                                                                     </t>
  </si>
  <si>
    <t xml:space="preserve">Familjeläkarna vid Torget, Laholm                                                                                                                     </t>
  </si>
  <si>
    <t xml:space="preserve">Göran Svensson Läkarmottagning                                                                                                                        </t>
  </si>
  <si>
    <t xml:space="preserve">Husläkarna Varmbadhuset Varberg                                                                                                                       </t>
  </si>
  <si>
    <t xml:space="preserve">HälsoRingen Glänninge                                                                                                                                 </t>
  </si>
  <si>
    <t xml:space="preserve">HälsoRingen Knäred                                                                                                                                    </t>
  </si>
  <si>
    <t xml:space="preserve">Lagaholmskliniken fd Familjeläkarna Laholm                                                                                                                            </t>
  </si>
  <si>
    <t xml:space="preserve">Laurentiuskliniken                                                                                                                                    </t>
  </si>
  <si>
    <t xml:space="preserve">Läjeskliniken                                                                                                                                         </t>
  </si>
  <si>
    <t xml:space="preserve">Läkargruppen Tre hjärtan                                                                                                                              </t>
  </si>
  <si>
    <t xml:space="preserve">Neptunuskliniken Hamnen/Bäckgatan                                                                                                                     </t>
  </si>
  <si>
    <t xml:space="preserve">Stenblommans Vårdcentral                                                                                                                              </t>
  </si>
  <si>
    <t xml:space="preserve">Säröledens Familjeläkare                                                                                                                              </t>
  </si>
  <si>
    <t xml:space="preserve">Söndrumskliniken                                                                                                                                      </t>
  </si>
  <si>
    <t xml:space="preserve">Tudorkliniken allmänläkarmottagning                                                                                                                   </t>
  </si>
  <si>
    <t xml:space="preserve">Viktoriakliniken Eldsberga                                                                                                                            </t>
  </si>
  <si>
    <t xml:space="preserve">Viktoriakliniken Kungsgatan                                                                                                                           </t>
  </si>
  <si>
    <t xml:space="preserve">Vårdcentralen Andersberg                                                                                                                              </t>
  </si>
  <si>
    <t xml:space="preserve">Vårdcentralen Bäckagård                                                                                                                               </t>
  </si>
  <si>
    <t xml:space="preserve">Vårdcentralen Falkenberg                                                                                                                              </t>
  </si>
  <si>
    <t xml:space="preserve">Vårdcentralen Fjärås                                                                                                                                  </t>
  </si>
  <si>
    <t xml:space="preserve">Vårdcentralen Getinge                                                                                                                                 </t>
  </si>
  <si>
    <t xml:space="preserve">Vårdcentralen Hertig Knut                                                                                                                             </t>
  </si>
  <si>
    <t xml:space="preserve">Vårdcentralen Hyltebruk                                                                                                                               </t>
  </si>
  <si>
    <t xml:space="preserve">Vårdcentralen Håsten                                                                                                                                  </t>
  </si>
  <si>
    <t xml:space="preserve">Vårdcentralen Kungsbacka                                                                                                                              </t>
  </si>
  <si>
    <t xml:space="preserve">Vårdcentralen Nyhem                                                                                                                                   </t>
  </si>
  <si>
    <t xml:space="preserve">Vårdcentralen Onsala                                                                                                                       </t>
  </si>
  <si>
    <t xml:space="preserve">Vårdcentralen Oskarström                                                                                                                   </t>
  </si>
  <si>
    <t xml:space="preserve">Vårdcentralen Slöinge                                                                                                                                 </t>
  </si>
  <si>
    <t xml:space="preserve">Vårdcentralen Särö                                                                                                                         </t>
  </si>
  <si>
    <t xml:space="preserve">Vårdcentralen Torup                                                                                                                                   </t>
  </si>
  <si>
    <t xml:space="preserve">Vårdcentralen Tvååker                                                                                                                                 </t>
  </si>
  <si>
    <t xml:space="preserve">Vårdcentralen Ullared                                                                                                                                 </t>
  </si>
  <si>
    <t xml:space="preserve">Vårdcentralen Vallås                                                                                                                       </t>
  </si>
  <si>
    <t xml:space="preserve">Vårdcentralen Veddige                                                                                                                                 </t>
  </si>
  <si>
    <t xml:space="preserve">Vårdcentralen Vessigebro                                                                                                                              </t>
  </si>
  <si>
    <t xml:space="preserve">Vårdcentralen Västra Vall                                                                                                         </t>
  </si>
  <si>
    <t xml:space="preserve">Vårdcentralen Åsa                                                                                                                                     </t>
  </si>
  <si>
    <t>Distriktssköterskemottagningen Unnaryd</t>
  </si>
  <si>
    <t xml:space="preserve">Hälsa och rehabilitering Falkenberg                                                                                                         </t>
  </si>
  <si>
    <t xml:space="preserve">Hälsa och rehabilitering Kungsbacka                                                                                                        </t>
  </si>
  <si>
    <t xml:space="preserve">Hälsa och rehabilitering Varberg                                                                                                           </t>
  </si>
  <si>
    <t xml:space="preserve">Närakuten Kungsbacka                                                                                                                                  </t>
  </si>
  <si>
    <t xml:space="preserve">Psykologverksamheten inom Mödra- och barnhälsovården i Kungsbacka                                                                                     </t>
  </si>
  <si>
    <t>Folktandvården Breared</t>
  </si>
  <si>
    <t xml:space="preserve">Folktandvården Bua                                                                                                                                    </t>
  </si>
  <si>
    <t xml:space="preserve">Folktandvården City Halmstad                                                                                                                          </t>
  </si>
  <si>
    <t xml:space="preserve">Folktandvården Falkenberg                                                                                                                             </t>
  </si>
  <si>
    <t xml:space="preserve">Folktandvården Fjärås                                                                                                                                 </t>
  </si>
  <si>
    <t xml:space="preserve">Folktandvården Getinge                                                                                                                                </t>
  </si>
  <si>
    <t xml:space="preserve">Folktandvården Hyltebruk                                                                                                                              </t>
  </si>
  <si>
    <t xml:space="preserve">Folktandvården Knäred                                                                                                                                 </t>
  </si>
  <si>
    <t xml:space="preserve">Folktandvården Laholm                                                                                                                                 </t>
  </si>
  <si>
    <t xml:space="preserve">Folktandvården Nyhem                                                                                                                                  </t>
  </si>
  <si>
    <t xml:space="preserve">Folktandvården Oskarström                                                                                                                             </t>
  </si>
  <si>
    <t xml:space="preserve">Folktandvården Söndrum                                                                                                                                </t>
  </si>
  <si>
    <t xml:space="preserve">Folktandvården Tvååker                                                                                                                                </t>
  </si>
  <si>
    <t xml:space="preserve">Folktandvården Ullared                                                                                                                                </t>
  </si>
  <si>
    <t xml:space="preserve">Folktandvården Vallås                                                                                                                                 </t>
  </si>
  <si>
    <t xml:space="preserve">Folktandvården Veddige                                                                                                                                </t>
  </si>
  <si>
    <t xml:space="preserve">Folktandvården Vessigebro                                                                                                                             </t>
  </si>
  <si>
    <t xml:space="preserve">Folktandvården Västra Vall                                                                                                                            </t>
  </si>
  <si>
    <t xml:space="preserve">Folktandvården Åsa                                                                                                                                    </t>
  </si>
  <si>
    <t xml:space="preserve">Tandregleringen Falkenberg                                                                                                                            </t>
  </si>
  <si>
    <t xml:space="preserve">Tandregleringen Halmstad                                                                                                                              </t>
  </si>
  <si>
    <t xml:space="preserve">Tandregleringen Kungsbacka                                                                                                                            </t>
  </si>
  <si>
    <t xml:space="preserve">Tandregleringen Varberg                                                                                                                               </t>
  </si>
  <si>
    <t xml:space="preserve">Specialisttandvården                                                                                                                                  </t>
  </si>
  <si>
    <t>Specialistsjukvården</t>
  </si>
  <si>
    <t xml:space="preserve">Allergimottagningen för barn och ungdomar Kungsbacka                                                                                                  </t>
  </si>
  <si>
    <t xml:space="preserve">Barn- och ungdomsmottagningen Halmstad inkl Falkenberg                                                                                                </t>
  </si>
  <si>
    <t xml:space="preserve">Barn- och ungdomsmottagningen Kungsbacka                                                                                                              </t>
  </si>
  <si>
    <t xml:space="preserve">Barn- och ungdomsmottagningen Varberg                                                                                                                 </t>
  </si>
  <si>
    <t xml:space="preserve">Gynekologimottagningen Halmstad                                                                                                                       </t>
  </si>
  <si>
    <t xml:space="preserve">Gynekologimottagningen Kungsbacka                                                                                                                     </t>
  </si>
  <si>
    <t xml:space="preserve">Gynekologimottagningen Varberg                                                                                                                        </t>
  </si>
  <si>
    <t xml:space="preserve">Hudmottagningen Halmstad                                                                                                                              </t>
  </si>
  <si>
    <t xml:space="preserve">Hudmottagningen Varberg                                                                                                                               </t>
  </si>
  <si>
    <t xml:space="preserve">Infektionsmottagningen Halmstad                                                                                                                       </t>
  </si>
  <si>
    <t xml:space="preserve">Kirurgi- och Urologimottagningen Falkenberg                                                                                                           </t>
  </si>
  <si>
    <t xml:space="preserve">Kirurgimottagningen Halmstad                                                                                                                          </t>
  </si>
  <si>
    <t xml:space="preserve">Kirurgimottagningen Kungsbacka                                                                                                                        </t>
  </si>
  <si>
    <t xml:space="preserve">Kirurgimottagningen Varberg                                                                                                                           </t>
  </si>
  <si>
    <t xml:space="preserve">Klinisk fysiologi Halmstad                                                                                                                            </t>
  </si>
  <si>
    <t xml:space="preserve">Ljusbehandlingen Falkenberg                                                                                                                           </t>
  </si>
  <si>
    <t xml:space="preserve">Lotusgården Kungsbacka                                                                                                                                </t>
  </si>
  <si>
    <t xml:space="preserve">Lung- och allergimottagningen Halmstad                                                                                                                </t>
  </si>
  <si>
    <t xml:space="preserve">Medicinmottagningen Halmstad                                                                                                                          </t>
  </si>
  <si>
    <t xml:space="preserve">Medicinmottagningen Kungsbacka                                                                                                                        </t>
  </si>
  <si>
    <t xml:space="preserve">Medicinmottagningen Varberg                                                                                                                           </t>
  </si>
  <si>
    <t xml:space="preserve">MTA Hjälpmedel                                                                                                                                        </t>
  </si>
  <si>
    <t xml:space="preserve">Neurologimottagningen Halmstad                                                                                                                        </t>
  </si>
  <si>
    <t xml:space="preserve">Njur- och dialysmottagningen Halmstad                                                                                                                 </t>
  </si>
  <si>
    <t xml:space="preserve">Onkologimottagningen Varberg                                                                                                                          </t>
  </si>
  <si>
    <t xml:space="preserve">Ortopedimottagningen Halmstad                                                                                                                         </t>
  </si>
  <si>
    <t xml:space="preserve">Ortopedimottagningen Kungsbacka                                                                                                                       </t>
  </si>
  <si>
    <t xml:space="preserve">Ortopedimottagningen Varberg                                                                                                                          </t>
  </si>
  <si>
    <t>Psykiatrihälsan Halmstad</t>
  </si>
  <si>
    <t xml:space="preserve">Qvinnolivet - Specialistläkarna i Kungsbacka                                                                                                          </t>
  </si>
  <si>
    <t xml:space="preserve">Rehabiliteringskliniken Halmstad                                                                                                                      </t>
  </si>
  <si>
    <t xml:space="preserve">Rehabiliteringskliniken Varberg  - startade hösten 2014                                                                                                                     </t>
  </si>
  <si>
    <t xml:space="preserve">Röntgenmottagningen Falkenberg                                                                                                                        </t>
  </si>
  <si>
    <t xml:space="preserve">Röntgenmottagningen Halmstad                                                                                                                          </t>
  </si>
  <si>
    <t xml:space="preserve">Röntgenmottagningen Kungsbacka                                                                                                                        </t>
  </si>
  <si>
    <t xml:space="preserve">Röntgenmottagningen Varberg                                                                                                                           </t>
  </si>
  <si>
    <t xml:space="preserve">STD-mottagningen Halmstad                                                                                                                             </t>
  </si>
  <si>
    <t xml:space="preserve">STD-mottagningen Varberg                                                                                                                              </t>
  </si>
  <si>
    <t xml:space="preserve">Urologimottagningen Halmstad                                                                                                                          </t>
  </si>
  <si>
    <t xml:space="preserve">Urologimottagningen Kungsbacka                                                                                                                        </t>
  </si>
  <si>
    <t xml:space="preserve">Urologimottagningen Varberg                                                                                                                           </t>
  </si>
  <si>
    <t xml:space="preserve">Ögonmottagningen Halmstad                                                                                                                             </t>
  </si>
  <si>
    <t xml:space="preserve">Ögonmottagningen Kungsbacka                                                                                                                           </t>
  </si>
  <si>
    <t xml:space="preserve">Ögonmottagningen Varberg                                                                                                                              </t>
  </si>
  <si>
    <t xml:space="preserve">Öron-, näs- och halsmottagningen Halmstad                                                                                                             </t>
  </si>
  <si>
    <t xml:space="preserve">Öron-, näs- och halsmottagningen Varberg                                                                                                              </t>
  </si>
  <si>
    <t xml:space="preserve">Öron, näs- och halsmottagningen Kungsbacka                                                                                                            </t>
  </si>
  <si>
    <t xml:space="preserve">Hälsa och Funktionsstöd </t>
  </si>
  <si>
    <t xml:space="preserve">Audionommmottagningen Falkenberg                                                                                                                               </t>
  </si>
  <si>
    <t xml:space="preserve">Audionommottagningen Halmstad                                                                                                                                 </t>
  </si>
  <si>
    <t xml:space="preserve">Audionommottagningen Kungsbacka                                                                                                                               </t>
  </si>
  <si>
    <t xml:space="preserve">Audionommottagningen Varberg                                                                                                                                  </t>
  </si>
  <si>
    <t xml:space="preserve">Habiliteringen Falkenberg                                                                                                                             </t>
  </si>
  <si>
    <t xml:space="preserve">Habiliteringen Halmstad                                                                                                                               </t>
  </si>
  <si>
    <t xml:space="preserve">Habiliteringen Kungsbacka                                                                                                                             </t>
  </si>
  <si>
    <t xml:space="preserve">Habiliteringen Varberg                                                                                                                                </t>
  </si>
  <si>
    <t>Hjälpmedelscentrum Halmstad</t>
  </si>
  <si>
    <t xml:space="preserve">Hjälpmedelscentrum Kungsbacka                                                                                                                         </t>
  </si>
  <si>
    <t xml:space="preserve">Hjälpmedelscentrum Varberg                                                                                                                            </t>
  </si>
  <si>
    <t>Hörselteamet Kungsbacka (startar aug 2014)</t>
  </si>
  <si>
    <t xml:space="preserve">Kvinnohälsovården Falkenberg/Ullared                                                                                                                  </t>
  </si>
  <si>
    <t xml:space="preserve">Kvinnohälsovården Halmstad                                                                                                                            </t>
  </si>
  <si>
    <t xml:space="preserve">Kvinnohälsovården Hyltebruk                                                                                                                           </t>
  </si>
  <si>
    <t xml:space="preserve">Kvinnohälsovården Kungsbacka (Särö)                                                                                                               </t>
  </si>
  <si>
    <t xml:space="preserve">Kvinnohälsovården Laholm                                                                                                                              </t>
  </si>
  <si>
    <t xml:space="preserve">Kvinnohälsovården Varberg                                                                                                                             </t>
  </si>
  <si>
    <t xml:space="preserve">Resurscentrum för kommunikation Dako Halmstad                                                                                                         </t>
  </si>
  <si>
    <t xml:space="preserve">Resurscentrum för kommunikation Dako Varberg                                                                                                          </t>
  </si>
  <si>
    <t xml:space="preserve">Syncentralen Halmstad                                                                                                                                 </t>
  </si>
  <si>
    <t xml:space="preserve">Syncentralen Kungsbacka                                                                                                                               </t>
  </si>
  <si>
    <t xml:space="preserve">Ungdomsmottagningen Falkenberg                                                                                                                        </t>
  </si>
  <si>
    <t xml:space="preserve">Ungdomsmottagningen Halmstad                                                                                                                          </t>
  </si>
  <si>
    <t xml:space="preserve">Ungdomsmottagningen Hylte                                                                                                                             </t>
  </si>
  <si>
    <t xml:space="preserve">Ungdomsmottagningen Kungsbacka                                                                                                                        </t>
  </si>
  <si>
    <t xml:space="preserve">Ungdomsmottagningen Laholm                                                                                                                            </t>
  </si>
  <si>
    <t xml:space="preserve">Ungdomsmottagningen Varberg                                                                                                                           </t>
  </si>
  <si>
    <t>Psykiatrin</t>
  </si>
  <si>
    <t xml:space="preserve">Affektiva mottagningen Halmstad                                                                                                                       </t>
  </si>
  <si>
    <t xml:space="preserve">BUP behandlingsenheten Ginsten                                                                                                                        </t>
  </si>
  <si>
    <t xml:space="preserve">BUP-linjen                                                                                                                                            </t>
  </si>
  <si>
    <t xml:space="preserve">BUP-mottagningen Falkenberg                                                                                                                           </t>
  </si>
  <si>
    <t xml:space="preserve">BUP-mottagningen Halmstad                                                                                                                             </t>
  </si>
  <si>
    <t xml:space="preserve">BUP-mottagningen Hyltebruk                                                                                                                            </t>
  </si>
  <si>
    <t xml:space="preserve">BUP-mottagningen Kungsbacka                                                                                                                           </t>
  </si>
  <si>
    <t xml:space="preserve">BUP-mottagningen Laholm                                                                                                                               </t>
  </si>
  <si>
    <t xml:space="preserve">BUP-mottagningen Varberg                                                                                                                              </t>
  </si>
  <si>
    <t xml:space="preserve">Minnesmottagningen Halmstad                                                                                                                           </t>
  </si>
  <si>
    <t xml:space="preserve">Minnesmottagningen Varberg                                                                                                                            </t>
  </si>
  <si>
    <t xml:space="preserve">Psykosmottagning och mottagning för särskilt vårdkrävande Halmstad                                                                                    </t>
  </si>
  <si>
    <t xml:space="preserve">SVK-team Norr Sjukhuset Varberg                                                                                                                       </t>
  </si>
  <si>
    <t xml:space="preserve">Vuxenpsykiatrimottagningen Halmstad                                                                                                                   </t>
  </si>
  <si>
    <t xml:space="preserve">Vuxenpsykiatrimottagningen Hyltebruk                                                                                                                  </t>
  </si>
  <si>
    <t xml:space="preserve">Vuxenpsykiatrimottagningen Kungsbacka                                                                                                                 </t>
  </si>
  <si>
    <t xml:space="preserve">Vuxenpsykiatrimottagningen Laholm                                                                                                                     </t>
  </si>
  <si>
    <t xml:space="preserve">Vuxenpsykiatrimottagningen Varberg                                                                                                                    </t>
  </si>
  <si>
    <t xml:space="preserve">Vuxenpsykiatrisk mottagning och Psykosteam i Falkenberg                                                                                               </t>
  </si>
  <si>
    <t xml:space="preserve">Ätstörningsmottagningen Halmstad                                                                                                                      </t>
  </si>
  <si>
    <t xml:space="preserve">Ätstörningsmottagningen Varberg                                                                                                                       </t>
  </si>
  <si>
    <t xml:space="preserve">Övriga tjänster </t>
  </si>
  <si>
    <t xml:space="preserve">BB/Förlossning Halmstad    Boka tid för visning                                                                                                                    </t>
  </si>
  <si>
    <t xml:space="preserve">BB/Förlossning Varberg         Boka tid för visning                                                                                                                        </t>
  </si>
  <si>
    <t xml:space="preserve">Fråga 1177 sjukvårdrådgivningen Halland                                                                                                               </t>
  </si>
  <si>
    <t xml:space="preserve">Glutenintolerans- ansökan om kontantbidrag                                                                                                            </t>
  </si>
  <si>
    <t xml:space="preserve">Gynekologisk cellprovtagning  - frågor om cellprov                                                                                                                        </t>
  </si>
  <si>
    <t xml:space="preserve">Journalspärrservice                                                                                                                                   </t>
  </si>
  <si>
    <t xml:space="preserve">Klamydiatest                                                                                                                                          </t>
  </si>
  <si>
    <t xml:space="preserve">Mammografi Falkenberg    -Hälsokontroll  -frågor                                                                                                                    </t>
  </si>
  <si>
    <t xml:space="preserve">Mammografi Halmstad       - Hälsokontroll -frågor                                                                                                               </t>
  </si>
  <si>
    <t xml:space="preserve">Mammografi Kungsbacka - hälsokontroll -frågor                                                                                                                   </t>
  </si>
  <si>
    <t xml:space="preserve">Mammografi Varberg - hälsokontroll -frågor                                                                                                              </t>
  </si>
  <si>
    <t xml:space="preserve">Patientnämndens kansli                                                                                                                                </t>
  </si>
  <si>
    <t>Vårdgarantiservice-startade under hösten 2014</t>
  </si>
  <si>
    <t>Ansökan om färdtjänst</t>
  </si>
  <si>
    <t>Vårdavtal</t>
  </si>
  <si>
    <r>
      <t xml:space="preserve">Capio Movement </t>
    </r>
    <r>
      <rPr>
        <i/>
        <sz val="11"/>
        <rFont val="Calibri"/>
        <family val="2"/>
        <scheme val="minor"/>
      </rPr>
      <t>(fr.o.m. 2014-06-01)</t>
    </r>
  </si>
  <si>
    <t>Hjärthuset</t>
  </si>
  <si>
    <t>Specialistmott. i urologi</t>
  </si>
  <si>
    <t>Ekens läkarmottagn, dr Elisabet Larsson</t>
  </si>
  <si>
    <t>Tudorkliniken kvinnoklinik</t>
  </si>
  <si>
    <t>Varmbadhusets gynekologmottagning</t>
  </si>
  <si>
    <t>Kvinnofokus gynekologmottagning</t>
  </si>
  <si>
    <t>Anslutna enligt Lag (1993:1651) om läkarvårdsersättning</t>
  </si>
  <si>
    <t>Ryggtavlan</t>
  </si>
  <si>
    <t>Centrumkliniken</t>
  </si>
  <si>
    <t xml:space="preserve">Valldavägen 34 </t>
  </si>
  <si>
    <t>Ögonmottagningen Bjarne Rasmussen</t>
  </si>
  <si>
    <t>Ögonmottagningen i Snöstorp</t>
  </si>
  <si>
    <t>HudDoktorn i Halmstad</t>
  </si>
  <si>
    <t>Hudmottagningen i Falkenberg</t>
  </si>
  <si>
    <t xml:space="preserve">Majas Barnläkarmottagning </t>
  </si>
  <si>
    <t>Karl XI:s läkarmottagning</t>
  </si>
  <si>
    <t>Cityläkarna</t>
  </si>
  <si>
    <t>Platsarnas läkarmottagning</t>
  </si>
  <si>
    <t>Vårdval Halland Specialiserad vård</t>
  </si>
  <si>
    <t>Hudläkare dr Harald Salim</t>
  </si>
  <si>
    <t>Kungsbacka hudmottagning</t>
  </si>
  <si>
    <t>Capio Tilma Varberg</t>
  </si>
  <si>
    <t>Capio Tilma Halmstad</t>
  </si>
  <si>
    <t>Praktikertjänst Psykiatri</t>
  </si>
  <si>
    <t>Läkarkonsult Yvonne Kollberg (?)</t>
  </si>
  <si>
    <r>
      <t>Tandvården</t>
    </r>
    <r>
      <rPr>
        <sz val="10"/>
        <rFont val="Calibri"/>
        <family val="2"/>
      </rPr>
      <t xml:space="preserve"> </t>
    </r>
  </si>
  <si>
    <t>Vårdvalsenheter samt Hälsa och Rehabilitering</t>
  </si>
  <si>
    <t>Summa av D &amp; E</t>
  </si>
  <si>
    <t>Kontakta mig/
Meddelande till mottagning</t>
  </si>
  <si>
    <t>Förnya hjälpmedel</t>
  </si>
  <si>
    <t>Webbtidbokning - (integrerad+ fristående)</t>
  </si>
  <si>
    <t>Summa N &amp; O</t>
  </si>
  <si>
    <t>Strandängshälsan (Öpnnade 16 nov 2015)</t>
  </si>
  <si>
    <t>Egen-remiss</t>
  </si>
  <si>
    <t>Mål 2015</t>
  </si>
  <si>
    <t>Mottagningen för hormonella sjukdomar, Medicin Varberg</t>
  </si>
  <si>
    <t>Öppnade 2015</t>
  </si>
  <si>
    <t>Mottagningen för smärtrehabilitering Varberg</t>
  </si>
  <si>
    <t xml:space="preserve">Hjärtmottagningen Varberg </t>
  </si>
  <si>
    <t>Hematologimottagningen Halmstad</t>
  </si>
  <si>
    <t>Hematologimottagningen i Varberg</t>
  </si>
  <si>
    <t>1 ärende totalt</t>
  </si>
  <si>
    <t>Neurofysiologimottagningen, Medicin Varberg</t>
  </si>
  <si>
    <t>Neurologimottagningen Varberg</t>
  </si>
  <si>
    <t xml:space="preserve">Njur- och dialysmottagningen Varberg                                                                                                         </t>
  </si>
  <si>
    <t>Inga ärenden alls under 2015</t>
  </si>
  <si>
    <t>Rehabiliterinsgkliniken Kungsbacka- startade hösten 2014</t>
  </si>
  <si>
    <t>Undersökning av stora kroppspulsådern (webbtidbokn)</t>
  </si>
  <si>
    <t>Har endast webbtidbok och frågetjänst</t>
  </si>
  <si>
    <t>Hörselteamet Halmstad (startade aug 2014)</t>
  </si>
  <si>
    <t>Startade 2015</t>
  </si>
  <si>
    <t>Affekta Psykiatrimottagning</t>
  </si>
  <si>
    <t>Inga ärenden alls sedan starten 2008</t>
  </si>
  <si>
    <t>Capio Psykiatri Varberg</t>
  </si>
  <si>
    <t>Stenblommans psykiatri</t>
  </si>
  <si>
    <t>Capio Tilma Varberg - se ovan under psykiatri</t>
  </si>
  <si>
    <t>Capio Tilma Halmstad- se ovan under psykiatri</t>
  </si>
  <si>
    <t>Stenblomman Psykiatri, Kungsbacka- se ovan under psykiatri</t>
  </si>
  <si>
    <t xml:space="preserve">Mål 2015  </t>
  </si>
  <si>
    <t>Andel aktiva val via 1177  Mål 50%</t>
  </si>
  <si>
    <t>Vårdcentralen Kolla</t>
  </si>
  <si>
    <t>Obs! Deras elektroniska vårdvalsfunktion låg nere juni-sept 2015.</t>
  </si>
  <si>
    <t xml:space="preserve">Antal ärenden </t>
  </si>
  <si>
    <t>Antal ärenden</t>
  </si>
  <si>
    <t>Ökning sedan 2014</t>
  </si>
  <si>
    <t xml:space="preserve">Vårdcentralen Laholm                                                                                                                                  </t>
  </si>
  <si>
    <t>Folktandvården Kolla</t>
  </si>
  <si>
    <t>Ak-mottagningen, Medicin Varberg</t>
  </si>
  <si>
    <t>Stängde 2015</t>
  </si>
  <si>
    <t>Mag- och tarmmottagningen, Medicin Varberg</t>
  </si>
  <si>
    <t>Ansluter sig i januari 2016 avtal klart/ Maria B</t>
  </si>
  <si>
    <t>Antal aktiva vårdval via blankett</t>
  </si>
  <si>
    <t>Antal val via system-tilldelning</t>
  </si>
  <si>
    <t>Kvartal 1 2016</t>
  </si>
  <si>
    <t>Förändring sedan 2014</t>
  </si>
  <si>
    <t>Förändring sedan 2014 i %</t>
  </si>
  <si>
    <t>Förändring senaste året</t>
  </si>
  <si>
    <t>Förändringsenaste året i %</t>
  </si>
  <si>
    <t>Fördelning 1 jan-31 december 2015 helår</t>
  </si>
  <si>
    <t>Fördelning efter kvartal 1 2014-2016</t>
  </si>
  <si>
    <t>AK-mottagningen, Medicin Varberg</t>
  </si>
  <si>
    <t>Affektiva enheten Halmstad</t>
  </si>
  <si>
    <t>Allergimottagningen, Medicin Varberg</t>
  </si>
  <si>
    <t>Amadeus Fyllinge</t>
  </si>
  <si>
    <t>Amadeus Söndrum</t>
  </si>
  <si>
    <t>Ansökan om färdtjänst- startade i juni 2015</t>
  </si>
  <si>
    <t>Audionommottagningen Falkenberg</t>
  </si>
  <si>
    <t>Audionommottagningen Halmstad</t>
  </si>
  <si>
    <t>Audionommottagningen Kunsgbacka</t>
  </si>
  <si>
    <t>Audionommottagningen Varberg</t>
  </si>
  <si>
    <t xml:space="preserve">BUP-linjen </t>
  </si>
  <si>
    <t>BUP Falkenberg</t>
  </si>
  <si>
    <t>BUP Halmstad</t>
  </si>
  <si>
    <t>BUP Hylte</t>
  </si>
  <si>
    <t>BUP Kungsbacka</t>
  </si>
  <si>
    <t>BUP Laholm</t>
  </si>
  <si>
    <t>BUP Varberg</t>
  </si>
  <si>
    <t>Barn- och ungdomsmottagningen Kungsbacka</t>
  </si>
  <si>
    <t>Barn- och ungdomsmott Varberg</t>
  </si>
  <si>
    <t>Barn- och ungdomsmott Halmstad inkl Fbg</t>
  </si>
  <si>
    <t>Behandlingsenh. Ginsten</t>
  </si>
  <si>
    <t xml:space="preserve">Capio Citykliniken </t>
  </si>
  <si>
    <t>Capio Familjeläkarna Skrea</t>
  </si>
  <si>
    <t>Capio Familjeläkarna Söderbro/Glommen</t>
  </si>
  <si>
    <t>Capio Husläkarna Kungsbacka</t>
  </si>
  <si>
    <t>Capio husläkarna Vallda</t>
  </si>
  <si>
    <t>Capio TILMA Halmstad</t>
  </si>
  <si>
    <t>Diabetesmottagningen, Medicin Varberg</t>
  </si>
  <si>
    <t>Familjeläkarna vid torget, Laholm</t>
  </si>
  <si>
    <t>Folktandvården Bua</t>
  </si>
  <si>
    <t>Folktandvården City Halmstad</t>
  </si>
  <si>
    <t>Folktandvården Falkenberg</t>
  </si>
  <si>
    <t>Folktandvården Fjärås</t>
  </si>
  <si>
    <t>Folktandvården Getinge</t>
  </si>
  <si>
    <t>Folktandvården Hyltebruk</t>
  </si>
  <si>
    <t>Folktandvården Knäred</t>
  </si>
  <si>
    <t>Folktandvården Laholm</t>
  </si>
  <si>
    <t>Folktandvården Nyhem</t>
  </si>
  <si>
    <t>Folktandvården Oskarström</t>
  </si>
  <si>
    <t>Folktandvården Söndrum</t>
  </si>
  <si>
    <t>Folktandvården Tvååker</t>
  </si>
  <si>
    <t>Folktandvården Ullared</t>
  </si>
  <si>
    <t xml:space="preserve">Folktandvården Vallås </t>
  </si>
  <si>
    <t>Folktandvården Veddige</t>
  </si>
  <si>
    <t>Folktandvården Vessigebro</t>
  </si>
  <si>
    <t>Folktandvården Västra Vall</t>
  </si>
  <si>
    <t>Folktandvården Åsa</t>
  </si>
  <si>
    <t>Fråga 1177 Sjukvårdsrådgivningen</t>
  </si>
  <si>
    <t>Glutenintolerans- ansökan</t>
  </si>
  <si>
    <t>Gynmott Halmstad</t>
  </si>
  <si>
    <t>Gynmott Kungsbacka</t>
  </si>
  <si>
    <t>Gynmott Varberg</t>
  </si>
  <si>
    <t xml:space="preserve">Gynekologisk cellprovtagning Frågor </t>
  </si>
  <si>
    <t>Habiliteringen Falkenberg</t>
  </si>
  <si>
    <t>Habilliteringen Halmstad</t>
  </si>
  <si>
    <t>Habiliteringen Kungsbacka</t>
  </si>
  <si>
    <t>Habiliteringen Varberg</t>
  </si>
  <si>
    <t>Hematologimottagningen, Medicin Halmstad</t>
  </si>
  <si>
    <t>Hematologimottagningen, Medicin Varberg</t>
  </si>
  <si>
    <t>Hjälpmedelscentrum Falkenberg</t>
  </si>
  <si>
    <t>Hjälpmedelscentrum Kungsbacka</t>
  </si>
  <si>
    <t>hjälpmedelscentrum Varberg</t>
  </si>
  <si>
    <t>Hjärtmottagningen , Medicin Varberg</t>
  </si>
  <si>
    <t>Hudmottagningen Halmstad</t>
  </si>
  <si>
    <t>Hudmottagningen Varberg</t>
  </si>
  <si>
    <t>Husläkarna Varmbadhuset Varberg</t>
  </si>
  <si>
    <t>Hälsa &amp; Rehabilitering Falkenberg</t>
  </si>
  <si>
    <t>Hälsa &amp; Rehabilitering Falkenberg webbtidbok</t>
  </si>
  <si>
    <t>Hälsa &amp; Rehabilitering Kungsbacka</t>
  </si>
  <si>
    <t>Hälsa &amp; Rehabilitering Kungsbacka Webbtidbok invånare</t>
  </si>
  <si>
    <t>Hälsa &amp; Rehab Varberg</t>
  </si>
  <si>
    <t>HälsoRingen Glänninge</t>
  </si>
  <si>
    <t>Hälsoringen Knäred</t>
  </si>
  <si>
    <t>Hörselteamet Halmstad</t>
  </si>
  <si>
    <t>Hörselvården Kungsbacka</t>
  </si>
  <si>
    <t>Infektionsmottagningen Halmstad</t>
  </si>
  <si>
    <t>Journalspärrservice</t>
  </si>
  <si>
    <t>Kirurgmottagningen Halmstad</t>
  </si>
  <si>
    <t>Kirurgmottagningen Kungsbacka</t>
  </si>
  <si>
    <t>Kirurgmottagningen Varberg</t>
  </si>
  <si>
    <t>Klinisk fysiologi/Hjärtmottagningen Halmstad</t>
  </si>
  <si>
    <t>Klinisk studieenhet, Medicin Halmstad</t>
  </si>
  <si>
    <t>Kvinnohälsovården Falkenberg/Ullared</t>
  </si>
  <si>
    <t>Kvinnohälsovården Halmstad</t>
  </si>
  <si>
    <t>Kvinnohälsovården Hyltebruk</t>
  </si>
  <si>
    <t>Kvinnohälsovården Laholm</t>
  </si>
  <si>
    <t>Kvinnohälsovården Varberg</t>
  </si>
  <si>
    <t>Lagaholmskliniken  (fd. Familjeläkarna Laholm)</t>
  </si>
  <si>
    <t>Laholmshälsan (fd Görans Svensson Läkarmottagning)</t>
  </si>
  <si>
    <t>Laurentiuskliniken Fbg</t>
  </si>
  <si>
    <t>Ljusbehandlingen Fbg</t>
  </si>
  <si>
    <t>Lotusgården Kungsbacka</t>
  </si>
  <si>
    <t>Lung- och allergimottagningen Halmstad</t>
  </si>
  <si>
    <t>Läjeskliniken</t>
  </si>
  <si>
    <t>Läkargruppen Tre Hjärtan</t>
  </si>
  <si>
    <t>Mag- och tarmmmottagningen, Medicin Varberg</t>
  </si>
  <si>
    <t>MTA Hjälpmedel</t>
  </si>
  <si>
    <t xml:space="preserve">Mammografi Falkenberg    </t>
  </si>
  <si>
    <t xml:space="preserve">Mammografi Halmstad       </t>
  </si>
  <si>
    <t xml:space="preserve">Mammografi Kungsbacka   </t>
  </si>
  <si>
    <t xml:space="preserve">Mammografi Varberg         </t>
  </si>
  <si>
    <t>Medicinmottagningen Halmstad</t>
  </si>
  <si>
    <t>Medicinmottagningen Kungsbacka</t>
  </si>
  <si>
    <t>Medicinmottagningen Varberg</t>
  </si>
  <si>
    <t>Minnesmottagningen Halmstad</t>
  </si>
  <si>
    <t>Minnesmottagningen Varberg</t>
  </si>
  <si>
    <t>Mottagningen för smärtrehabilitering, Varberg</t>
  </si>
  <si>
    <t>Neptunus Bäckgatan/Hamnen</t>
  </si>
  <si>
    <t>Neurologimottagningen Halmstad</t>
  </si>
  <si>
    <t>Njur- och dialysmottagningen Halmstad</t>
  </si>
  <si>
    <t>Njur- och dialysmottagningen, Medicin Varberg</t>
  </si>
  <si>
    <t>Närakuten Kungsbacka</t>
  </si>
  <si>
    <t>Ortopedmottagningen Halmstad</t>
  </si>
  <si>
    <t>Ortopedmottagningen Kungsbacka</t>
  </si>
  <si>
    <t>Ortopedmottagningen Varberg</t>
  </si>
  <si>
    <t>Patientnämnden</t>
  </si>
  <si>
    <t>Psykologverksamheten inom MVC- och BHV</t>
  </si>
  <si>
    <t>Psykos- och SVKmott. Halmstad</t>
  </si>
  <si>
    <t>Qvinnolivet Kungsbacka</t>
  </si>
  <si>
    <t>Rehabkliniken Halmstad</t>
  </si>
  <si>
    <t>Rehabkliniken Kungsbacka</t>
  </si>
  <si>
    <t>Rehabkliniken Varberg</t>
  </si>
  <si>
    <t>Resurscentrum för kommunikation DaKo Halmstad</t>
  </si>
  <si>
    <t>Resurscentrum för kommunikation DaKo Varberg</t>
  </si>
  <si>
    <t>Dako Webbtidbok</t>
  </si>
  <si>
    <t>Röntgen Falkenberg</t>
  </si>
  <si>
    <t>Röntgen Halmstad</t>
  </si>
  <si>
    <t>Röntgen Kungsbacka</t>
  </si>
  <si>
    <t>Röntgen Varberg</t>
  </si>
  <si>
    <t>STD-mottagningen Halmstad</t>
  </si>
  <si>
    <t>STD-mottagningen Varberg</t>
  </si>
  <si>
    <t>SVK-team Norr Varberg</t>
  </si>
  <si>
    <t>Specialisttandvården Halmstad</t>
  </si>
  <si>
    <t>Stenblommans Vårdcentral</t>
  </si>
  <si>
    <t>Strandängshälsan, Laholm (öppnade 16 nov 2015)</t>
  </si>
  <si>
    <t>Syncentralen Halmstad</t>
  </si>
  <si>
    <t>Syncentralen Kungsbacka</t>
  </si>
  <si>
    <t>Säröledens Familjeläkare</t>
  </si>
  <si>
    <t>Söndrumskliniken</t>
  </si>
  <si>
    <t>Tandregleringen Falkenberg</t>
  </si>
  <si>
    <t>Tandregleringen Halmstad</t>
  </si>
  <si>
    <t>Tandregleringen Kungsbacka</t>
  </si>
  <si>
    <t>Tandregleringen Varberg</t>
  </si>
  <si>
    <t>Tudorklinikens allmänläk.mottagning</t>
  </si>
  <si>
    <t>Undersökning av stora kroppspulsådern</t>
  </si>
  <si>
    <t>Ungdomsmottagningen Falkenberg</t>
  </si>
  <si>
    <t>Ungdomsmottagningen Halmstad</t>
  </si>
  <si>
    <t>Ungdomsmottagningen Hyltebruk</t>
  </si>
  <si>
    <t>Ungdomsmottagningen Kungsbacka</t>
  </si>
  <si>
    <t>Ungdomsmottagningen Laholm</t>
  </si>
  <si>
    <t>Ungdomsmottagningen Varberg</t>
  </si>
  <si>
    <t>Urologmottagning Halmstad</t>
  </si>
  <si>
    <t>Urologmottagningen Kungsbacka</t>
  </si>
  <si>
    <t>Urologmottagning Varberg</t>
  </si>
  <si>
    <t>Viktoriaklliniken Eldsberga</t>
  </si>
  <si>
    <t>Viktoriakliniken Kungsgatan</t>
  </si>
  <si>
    <t>Vuxenpsykiatriskmott Halmstad</t>
  </si>
  <si>
    <t>Vuxenpsykiatriskmott Hyltebruk</t>
  </si>
  <si>
    <t>Vuxenpsykiatriskmott Kungsbacka</t>
  </si>
  <si>
    <t>Vuxenpsykiatriskmott Laholm</t>
  </si>
  <si>
    <t>Vuxenpsykiatriskmott Varberg</t>
  </si>
  <si>
    <t>Vuxenpsykiatriskmott+psykos Fbg</t>
  </si>
  <si>
    <t>VC Andersberg</t>
  </si>
  <si>
    <t>VC Bäckagård</t>
  </si>
  <si>
    <t>Vårdcentralen Falkenberg</t>
  </si>
  <si>
    <t>VC Fjärås</t>
  </si>
  <si>
    <t>VC Getinge</t>
  </si>
  <si>
    <t>VC Hertig Knut</t>
  </si>
  <si>
    <t>VC Hyltebruk</t>
  </si>
  <si>
    <t>VC Håsten</t>
  </si>
  <si>
    <t>Vc Kolla webbtidbok</t>
  </si>
  <si>
    <t>VC Kungsbacka</t>
  </si>
  <si>
    <t>Vc Kungsbacka webbtidbok</t>
  </si>
  <si>
    <t>VC Laholm</t>
  </si>
  <si>
    <t>VC Nyhem</t>
  </si>
  <si>
    <t>VC Onsala</t>
  </si>
  <si>
    <t>VC Onsala webbtidbok invånare</t>
  </si>
  <si>
    <t>VC Oskarström</t>
  </si>
  <si>
    <t>VC Slöinge</t>
  </si>
  <si>
    <t>VC Särö</t>
  </si>
  <si>
    <t>VC Särö webbtidbok invånare</t>
  </si>
  <si>
    <t>VC Torup</t>
  </si>
  <si>
    <t>VC Tvååker</t>
  </si>
  <si>
    <t>VC Ullared</t>
  </si>
  <si>
    <t>Vc Ullared webbbtidbok</t>
  </si>
  <si>
    <t>VC Vallås</t>
  </si>
  <si>
    <t>VC Veddige</t>
  </si>
  <si>
    <t>VC Vessigebro</t>
  </si>
  <si>
    <t>VC Västra Vall</t>
  </si>
  <si>
    <t>VC Västra Vall webbtidbok invånare</t>
  </si>
  <si>
    <t>VC Åsa</t>
  </si>
  <si>
    <t>Ätstörningsenheten Halmstad</t>
  </si>
  <si>
    <t>Ätstöringensenheten Varberg</t>
  </si>
  <si>
    <t>Ögonmottagningen Halmstad</t>
  </si>
  <si>
    <t>Ögonmottagningen Kungsbacka</t>
  </si>
  <si>
    <t>Ögonmottagningen Varberg</t>
  </si>
  <si>
    <t>Öron- näs- och halsmottagningens sömnlab Halmstad</t>
  </si>
  <si>
    <t xml:space="preserve">Öron-, näs- halsmottagning Halmstad </t>
  </si>
  <si>
    <t>Öron-, näs- halsmottagning Kungsbacka</t>
  </si>
  <si>
    <t>Öron-, näs- halsmottagning Falkenberg</t>
  </si>
  <si>
    <t>Öron-, näs- halsmottagning Varberg</t>
  </si>
  <si>
    <t>andel av totalt genomförda vårdval (-systemval)</t>
  </si>
  <si>
    <t>Invånarbokningar</t>
  </si>
  <si>
    <t>Bokade av personal</t>
  </si>
  <si>
    <t>Andel invånarbokade</t>
  </si>
  <si>
    <t xml:space="preserve">Visning BB/Förlossning Halmstad </t>
  </si>
  <si>
    <t>Visning BB/Förlossning Varberg</t>
  </si>
  <si>
    <t>Webbtidbok Gynekologiskt cellprov</t>
  </si>
  <si>
    <t>Gick inte att dela under 1:a kvartalet</t>
  </si>
  <si>
    <t>Webbtidbok Mammografin</t>
  </si>
  <si>
    <t>Totalt antal ärenden per månad</t>
  </si>
  <si>
    <t>Ökning</t>
  </si>
  <si>
    <t>% av befolkningen</t>
  </si>
  <si>
    <t>Antal anslutna mottagningar</t>
  </si>
  <si>
    <t>Inloggningar i Halland 2016</t>
  </si>
  <si>
    <t>Invånare</t>
  </si>
  <si>
    <t>Vårdgivare</t>
  </si>
  <si>
    <t>Inloggning med e-legitimation</t>
  </si>
  <si>
    <t>Förändring %</t>
  </si>
  <si>
    <t>Antal invånare med inloggning</t>
  </si>
  <si>
    <t>Antal vårdgivare med behörighet</t>
  </si>
  <si>
    <t>iu</t>
  </si>
  <si>
    <t>Vårdgarantiservice (öppnade nov 2014)</t>
  </si>
  <si>
    <t>Vc Kolla (öppnade nov 2014)</t>
  </si>
  <si>
    <t>stängd</t>
  </si>
  <si>
    <t>Ungdomspsykiatriskmott Halmstad stängdes 1 april 2015.</t>
  </si>
  <si>
    <t>Kvinnohälsovården Kungsbacka (2016 ink särö)</t>
  </si>
  <si>
    <t>Kirurgi och ortopedimottagningen  Falkenberg- stängdes febr 2015</t>
  </si>
  <si>
    <t>Folktandvården Kolla (Öppnade i nov 2014)</t>
  </si>
  <si>
    <t>Capio Tilma Kungsbacka- stängdes i juni 2015</t>
  </si>
  <si>
    <t>Capio Psykiatri Kungsbacka - stängdes i juni 2015</t>
  </si>
  <si>
    <t>Kvartal 1
2016</t>
  </si>
  <si>
    <t>Kvartal 1
2015</t>
  </si>
  <si>
    <t xml:space="preserve">Totalt: </t>
  </si>
  <si>
    <t xml:space="preserve">Vårdcentralen Centrum Laholm                                                                                                                                  </t>
  </si>
  <si>
    <t>Strandängshälsan (öppnade hösten 2015)</t>
  </si>
  <si>
    <t>Laholmshälsan (fd Göran Svenssons läkmott)</t>
  </si>
  <si>
    <t>Lagaholmskliniken (fd Familjeläkarna Laholm)</t>
  </si>
  <si>
    <t xml:space="preserve">Husläkarna Vallda                                                                                                                                     </t>
  </si>
  <si>
    <t xml:space="preserve">Husläkarna Kungsbacka                                                                                                                                 </t>
  </si>
  <si>
    <t xml:space="preserve">Amadeuskliniken (Fyllinge  och Söndrum sammanslagna 2015))                                                                                                                           </t>
  </si>
  <si>
    <t>System-tilldelade</t>
  </si>
  <si>
    <t>Andel vårdval via 1177*</t>
  </si>
  <si>
    <t>Totala antalet vårdval</t>
  </si>
  <si>
    <t>Blanketter</t>
  </si>
  <si>
    <t xml:space="preserve">Digitalt vårdval      </t>
  </si>
  <si>
    <t>Andel vårdval via 1177</t>
  </si>
  <si>
    <t>Vårdenhetskod</t>
  </si>
  <si>
    <t>Vårdenhet</t>
  </si>
  <si>
    <t>Grönt = uppnått målet</t>
  </si>
  <si>
    <t>Allergimottagning för barn och ungdomar Kungsbacka</t>
  </si>
  <si>
    <t>Summa</t>
  </si>
  <si>
    <t>Uppföljning av 1177 Vårdguidens e-tjänster efter kvartal 1 2016</t>
  </si>
  <si>
    <t>Förändring</t>
  </si>
  <si>
    <t>Antal ärenden in per mottagning, mål +20%</t>
  </si>
  <si>
    <t>Antal vårdval per vårdcentral efter kvartal 1 2016</t>
  </si>
  <si>
    <t xml:space="preserve">Digitalt vårdval     </t>
  </si>
  <si>
    <t>Uppföljning 2015 av mål och basutbud - 1177 Vårdguidens e-tjänster</t>
  </si>
  <si>
    <t>Antal genomförda vårdval i 1177 Vårdguidens e-tjänster</t>
  </si>
  <si>
    <t>Direktbokningar i fristående tidbok</t>
  </si>
  <si>
    <t>Webbtidbok Undersökning stora kroppspulsådern</t>
  </si>
  <si>
    <t>Rött innebär inte uppnått mål</t>
  </si>
  <si>
    <t>Grönt innebär uppnått mål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</si>
</sst>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k_r_-;\-* #,##0.00\ _k_r_-;_-* &quot;-&quot;??\ _k_r_-;_-@_-"/>
    <numFmt numFmtId="164" formatCode="0.0%"/>
  </numFmts>
  <fonts count="32" x14ac:knownFonts="1">
    <font>
      <sz val="12"/>
      <color theme="1"/>
      <name val="Times New Roman"/>
      <family val="2"/>
    </font>
    <font>
      <sz val="12"/>
      <color theme="1"/>
      <name val="Times New Roman"/>
      <family val="2"/>
    </font>
    <font>
      <sz val="10"/>
      <name val="Arial"/>
      <family val="2"/>
    </font>
    <font>
      <sz val="10"/>
      <name val="Arial"/>
      <family val="2"/>
    </font>
    <font>
      <sz val="11"/>
      <name val="Arial"/>
      <family val="2"/>
    </font>
    <font>
      <b/>
      <sz val="11"/>
      <name val="Arial"/>
      <family val="2"/>
    </font>
    <font>
      <sz val="10"/>
      <color theme="1"/>
      <name val="Arial"/>
      <family val="2"/>
    </font>
    <font>
      <sz val="11"/>
      <name val="Calibri"/>
      <family val="2"/>
      <scheme val="minor"/>
    </font>
    <font>
      <sz val="12"/>
      <color theme="1"/>
      <name val="Arial"/>
      <family val="2"/>
    </font>
    <font>
      <b/>
      <sz val="12"/>
      <color theme="1"/>
      <name val="Arial"/>
      <family val="2"/>
    </font>
    <font>
      <b/>
      <sz val="16"/>
      <color theme="1"/>
      <name val="Arial"/>
      <family val="2"/>
    </font>
    <font>
      <sz val="10"/>
      <name val="Calibri"/>
      <family val="2"/>
    </font>
    <font>
      <sz val="10"/>
      <color theme="1"/>
      <name val="Times New Roman"/>
      <family val="2"/>
    </font>
    <font>
      <sz val="10"/>
      <name val="Calibri"/>
      <family val="2"/>
      <scheme val="minor"/>
    </font>
    <font>
      <sz val="10"/>
      <color theme="1"/>
      <name val="Calibri"/>
      <family val="2"/>
      <scheme val="minor"/>
    </font>
    <font>
      <b/>
      <sz val="12"/>
      <color theme="1"/>
      <name val="Times New Roman"/>
      <family val="1"/>
    </font>
    <font>
      <b/>
      <sz val="10"/>
      <color theme="1"/>
      <name val="Calibri"/>
      <family val="2"/>
      <scheme val="minor"/>
    </font>
    <font>
      <b/>
      <sz val="18"/>
      <name val="Calibri"/>
      <family val="2"/>
    </font>
    <font>
      <b/>
      <sz val="18"/>
      <color theme="1"/>
      <name val="Calibri"/>
      <family val="2"/>
      <scheme val="minor"/>
    </font>
    <font>
      <b/>
      <sz val="11"/>
      <name val="Calibri"/>
      <family val="2"/>
      <scheme val="minor"/>
    </font>
    <font>
      <i/>
      <sz val="11"/>
      <name val="Calibri"/>
      <family val="2"/>
      <scheme val="minor"/>
    </font>
    <font>
      <b/>
      <sz val="12"/>
      <name val="Calibri"/>
      <family val="2"/>
      <scheme val="minor"/>
    </font>
    <font>
      <b/>
      <sz val="12"/>
      <color theme="1"/>
      <name val="Calibri"/>
      <family val="2"/>
    </font>
    <font>
      <b/>
      <sz val="10"/>
      <name val="Arial"/>
      <family val="2"/>
    </font>
    <font>
      <sz val="10"/>
      <color theme="1"/>
      <name val="Calibri"/>
      <family val="2"/>
    </font>
    <font>
      <sz val="10"/>
      <name val="Arial"/>
      <family val="2"/>
    </font>
    <font>
      <b/>
      <sz val="12"/>
      <color theme="1"/>
      <name val="Calibri"/>
      <family val="2"/>
      <scheme val="minor"/>
    </font>
    <font>
      <b/>
      <sz val="10"/>
      <color theme="1"/>
      <name val="Arial"/>
      <family val="2"/>
    </font>
    <font>
      <b/>
      <sz val="9"/>
      <color indexed="81"/>
      <name val="Tahoma"/>
      <family val="2"/>
    </font>
    <font>
      <sz val="9"/>
      <color indexed="81"/>
      <name val="Tahoma"/>
      <family val="2"/>
    </font>
    <font>
      <b/>
      <sz val="14"/>
      <color theme="1"/>
      <name val="Times New Roman"/>
      <family val="1"/>
    </font>
    <font>
      <b/>
      <sz val="12"/>
      <name val="Arial"/>
      <family val="2"/>
    </font>
  </fonts>
  <fills count="18">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0000"/>
        <bgColor indexed="64"/>
      </patternFill>
    </fill>
    <fill>
      <patternFill patternType="solid">
        <fgColor rgb="FF92D050"/>
        <bgColor indexed="64"/>
      </patternFill>
    </fill>
    <fill>
      <patternFill patternType="solid">
        <fgColor theme="6" tint="0.39997558519241921"/>
        <bgColor indexed="64"/>
      </patternFill>
    </fill>
    <fill>
      <patternFill patternType="solid">
        <fgColor rgb="FFB51B89"/>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4" tint="-0.249977111117893"/>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thin">
        <color indexed="64"/>
      </right>
      <top/>
      <bottom style="thin">
        <color indexed="64"/>
      </bottom>
      <diagonal/>
    </border>
    <border>
      <left/>
      <right/>
      <top style="medium">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top style="thin">
        <color indexed="64"/>
      </top>
      <bottom style="thin">
        <color indexed="64"/>
      </bottom>
      <diagonal/>
    </border>
    <border>
      <left style="medium">
        <color indexed="64"/>
      </left>
      <right style="thin">
        <color indexed="64"/>
      </right>
      <top/>
      <bottom/>
      <diagonal/>
    </border>
    <border>
      <left/>
      <right/>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0">
    <xf numFmtId="0" fontId="0" fillId="0" borderId="0"/>
    <xf numFmtId="9" fontId="1" fillId="0" borderId="0" applyFont="0" applyFill="0" applyBorder="0" applyAlignment="0" applyProtection="0"/>
    <xf numFmtId="0" fontId="2" fillId="0" borderId="0"/>
    <xf numFmtId="9" fontId="3" fillId="0" borderId="0" applyFont="0" applyFill="0" applyBorder="0" applyAlignment="0" applyProtection="0"/>
    <xf numFmtId="43" fontId="2" fillId="0" borderId="0" applyFont="0" applyFill="0" applyBorder="0" applyAlignment="0" applyProtection="0"/>
    <xf numFmtId="0" fontId="2" fillId="0" borderId="0"/>
    <xf numFmtId="0" fontId="25" fillId="0" borderId="0"/>
    <xf numFmtId="9" fontId="2" fillId="0" borderId="0" applyFont="0" applyFill="0" applyBorder="0" applyAlignment="0" applyProtection="0"/>
    <xf numFmtId="43" fontId="25" fillId="0" borderId="0" applyFont="0" applyFill="0" applyBorder="0" applyAlignment="0" applyProtection="0"/>
    <xf numFmtId="0" fontId="25" fillId="0" borderId="0"/>
  </cellStyleXfs>
  <cellXfs count="458">
    <xf numFmtId="0" fontId="0" fillId="0" borderId="0" xfId="0"/>
    <xf numFmtId="0" fontId="2" fillId="0" borderId="1" xfId="2" applyBorder="1"/>
    <xf numFmtId="0" fontId="2" fillId="4" borderId="1" xfId="2" applyFill="1" applyBorder="1"/>
    <xf numFmtId="0" fontId="6" fillId="0" borderId="0" xfId="0" applyFont="1"/>
    <xf numFmtId="0" fontId="0" fillId="0" borderId="1" xfId="0" applyBorder="1"/>
    <xf numFmtId="0" fontId="2" fillId="0" borderId="1" xfId="5" applyBorder="1"/>
    <xf numFmtId="0" fontId="2" fillId="0" borderId="1" xfId="5" applyFill="1" applyBorder="1"/>
    <xf numFmtId="3" fontId="7" fillId="0" borderId="1" xfId="0" applyNumberFormat="1" applyFont="1" applyBorder="1" applyAlignment="1">
      <alignment horizontal="right"/>
    </xf>
    <xf numFmtId="9" fontId="6" fillId="0" borderId="1" xfId="1" applyFont="1" applyBorder="1"/>
    <xf numFmtId="0" fontId="8" fillId="0" borderId="0" xfId="0" applyFont="1"/>
    <xf numFmtId="0" fontId="10" fillId="0" borderId="0" xfId="0" applyFont="1"/>
    <xf numFmtId="0" fontId="2" fillId="0" borderId="1" xfId="5" applyFont="1" applyBorder="1"/>
    <xf numFmtId="0" fontId="2" fillId="0" borderId="1" xfId="2" applyFont="1" applyBorder="1"/>
    <xf numFmtId="3" fontId="2" fillId="0" borderId="1" xfId="0" applyNumberFormat="1" applyFont="1" applyBorder="1" applyAlignment="1">
      <alignment horizontal="right"/>
    </xf>
    <xf numFmtId="0" fontId="0" fillId="0" borderId="0" xfId="0"/>
    <xf numFmtId="0" fontId="2" fillId="4" borderId="1" xfId="2" applyFont="1" applyFill="1" applyBorder="1"/>
    <xf numFmtId="0" fontId="13" fillId="0" borderId="1" xfId="5" applyFont="1" applyBorder="1" applyAlignment="1">
      <alignment horizontal="right"/>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5" fillId="5" borderId="0" xfId="0" applyFont="1" applyFill="1"/>
    <xf numFmtId="0" fontId="14" fillId="0" borderId="1" xfId="0" applyFont="1" applyBorder="1" applyAlignment="1">
      <alignment horizontal="right"/>
    </xf>
    <xf numFmtId="0" fontId="14" fillId="0" borderId="9" xfId="0" applyFont="1" applyBorder="1" applyAlignment="1">
      <alignment horizontal="right" vertical="center"/>
    </xf>
    <xf numFmtId="0" fontId="14" fillId="0" borderId="1" xfId="0" applyFont="1" applyBorder="1"/>
    <xf numFmtId="0" fontId="14" fillId="5" borderId="0" xfId="0" applyFont="1" applyFill="1"/>
    <xf numFmtId="0" fontId="14" fillId="0" borderId="3" xfId="0" applyFont="1" applyBorder="1"/>
    <xf numFmtId="0" fontId="14" fillId="7" borderId="3" xfId="0" applyFont="1" applyFill="1" applyBorder="1"/>
    <xf numFmtId="0" fontId="14" fillId="0" borderId="9" xfId="0" applyFont="1" applyBorder="1" applyAlignment="1">
      <alignment horizontal="right"/>
    </xf>
    <xf numFmtId="0" fontId="14" fillId="0" borderId="1" xfId="0" applyFont="1" applyFill="1" applyBorder="1" applyAlignment="1">
      <alignment horizontal="right"/>
    </xf>
    <xf numFmtId="0" fontId="14" fillId="2" borderId="1" xfId="0" applyFont="1" applyFill="1" applyBorder="1" applyAlignment="1">
      <alignment horizontal="right"/>
    </xf>
    <xf numFmtId="0" fontId="14" fillId="6" borderId="1" xfId="0" applyFont="1" applyFill="1" applyBorder="1"/>
    <xf numFmtId="0" fontId="14" fillId="7" borderId="1" xfId="0" applyFont="1" applyFill="1" applyBorder="1" applyAlignment="1">
      <alignment horizontal="right"/>
    </xf>
    <xf numFmtId="0" fontId="14" fillId="7" borderId="9" xfId="0" applyFont="1" applyFill="1" applyBorder="1" applyAlignment="1">
      <alignment horizontal="right"/>
    </xf>
    <xf numFmtId="0" fontId="14" fillId="7" borderId="9" xfId="0" applyFont="1" applyFill="1" applyBorder="1" applyAlignment="1">
      <alignment horizontal="right" vertical="center"/>
    </xf>
    <xf numFmtId="0" fontId="14" fillId="7" borderId="1" xfId="0" applyFont="1" applyFill="1" applyBorder="1"/>
    <xf numFmtId="1" fontId="14" fillId="7" borderId="3" xfId="0" applyNumberFormat="1" applyFont="1" applyFill="1" applyBorder="1"/>
    <xf numFmtId="1" fontId="14" fillId="0" borderId="1" xfId="0" applyNumberFormat="1" applyFont="1" applyBorder="1"/>
    <xf numFmtId="0" fontId="14" fillId="0" borderId="15" xfId="0" applyFont="1" applyBorder="1"/>
    <xf numFmtId="1" fontId="14" fillId="7" borderId="1" xfId="0" applyNumberFormat="1" applyFont="1" applyFill="1" applyBorder="1"/>
    <xf numFmtId="0" fontId="14" fillId="0" borderId="0" xfId="0" applyFont="1" applyBorder="1"/>
    <xf numFmtId="9" fontId="14" fillId="0" borderId="0" xfId="1" applyFont="1" applyBorder="1"/>
    <xf numFmtId="0" fontId="14" fillId="0" borderId="17" xfId="0" applyFont="1" applyBorder="1"/>
    <xf numFmtId="0" fontId="14" fillId="6" borderId="15" xfId="0" applyFont="1" applyFill="1" applyBorder="1"/>
    <xf numFmtId="0" fontId="14" fillId="0" borderId="19" xfId="0" applyFont="1" applyBorder="1"/>
    <xf numFmtId="0" fontId="11" fillId="2" borderId="0" xfId="5" applyFont="1" applyFill="1" applyBorder="1" applyAlignment="1">
      <alignment horizontal="left" wrapText="1"/>
    </xf>
    <xf numFmtId="0" fontId="14" fillId="0" borderId="0" xfId="0" applyFont="1" applyBorder="1" applyAlignment="1">
      <alignment horizontal="right"/>
    </xf>
    <xf numFmtId="0" fontId="14" fillId="0" borderId="0" xfId="0" applyFont="1" applyBorder="1" applyAlignment="1">
      <alignment horizontal="right" vertical="center"/>
    </xf>
    <xf numFmtId="3" fontId="14" fillId="0" borderId="0" xfId="0" applyNumberFormat="1" applyFont="1" applyBorder="1"/>
    <xf numFmtId="9" fontId="14" fillId="0" borderId="0" xfId="0" applyNumberFormat="1" applyFont="1" applyBorder="1"/>
    <xf numFmtId="1" fontId="14" fillId="0" borderId="0" xfId="0" applyNumberFormat="1" applyFont="1" applyBorder="1"/>
    <xf numFmtId="0" fontId="17" fillId="2" borderId="3" xfId="5" applyFont="1" applyFill="1" applyBorder="1" applyAlignment="1">
      <alignment horizontal="left" wrapText="1"/>
    </xf>
    <xf numFmtId="0" fontId="14" fillId="0" borderId="3" xfId="0" applyFont="1" applyBorder="1" applyAlignment="1">
      <alignment horizontal="right"/>
    </xf>
    <xf numFmtId="0" fontId="14" fillId="0" borderId="3" xfId="0" applyFont="1" applyBorder="1" applyAlignment="1">
      <alignment horizontal="right" vertical="center"/>
    </xf>
    <xf numFmtId="0" fontId="14" fillId="0" borderId="4" xfId="0" applyFont="1" applyBorder="1" applyAlignment="1">
      <alignment horizontal="right"/>
    </xf>
    <xf numFmtId="0" fontId="14" fillId="2" borderId="0" xfId="0" applyFont="1" applyFill="1"/>
    <xf numFmtId="0" fontId="14" fillId="0" borderId="4" xfId="0" applyFont="1" applyBorder="1"/>
    <xf numFmtId="0" fontId="14" fillId="2" borderId="0" xfId="0" applyFont="1" applyFill="1" applyBorder="1"/>
    <xf numFmtId="0" fontId="11" fillId="2" borderId="1" xfId="5" applyFont="1" applyFill="1" applyBorder="1" applyAlignment="1">
      <alignment horizontal="left" wrapText="1"/>
    </xf>
    <xf numFmtId="0" fontId="14" fillId="0" borderId="1" xfId="0" applyFont="1" applyBorder="1" applyAlignment="1">
      <alignment horizontal="right" vertical="center"/>
    </xf>
    <xf numFmtId="0" fontId="14" fillId="0" borderId="17" xfId="0" applyFont="1" applyBorder="1" applyAlignment="1">
      <alignment horizontal="right"/>
    </xf>
    <xf numFmtId="1" fontId="14" fillId="7" borderId="15" xfId="0" applyNumberFormat="1" applyFont="1" applyFill="1" applyBorder="1"/>
    <xf numFmtId="0" fontId="14" fillId="7" borderId="15" xfId="0" applyFont="1" applyFill="1" applyBorder="1"/>
    <xf numFmtId="0" fontId="14" fillId="2" borderId="1" xfId="0" applyFont="1" applyFill="1" applyBorder="1"/>
    <xf numFmtId="1" fontId="14" fillId="6" borderId="1" xfId="0" applyNumberFormat="1" applyFont="1" applyFill="1" applyBorder="1"/>
    <xf numFmtId="0" fontId="11" fillId="2" borderId="15" xfId="5" applyFont="1" applyFill="1" applyBorder="1" applyAlignment="1">
      <alignment horizontal="left" wrapText="1"/>
    </xf>
    <xf numFmtId="0" fontId="11" fillId="2" borderId="20" xfId="5" applyFont="1" applyFill="1" applyBorder="1" applyAlignment="1">
      <alignment horizontal="left" wrapText="1"/>
    </xf>
    <xf numFmtId="0" fontId="14" fillId="2" borderId="9" xfId="0" applyFont="1" applyFill="1" applyBorder="1" applyAlignment="1">
      <alignment horizontal="right"/>
    </xf>
    <xf numFmtId="0" fontId="0" fillId="2" borderId="0" xfId="0" applyFill="1" applyBorder="1" applyAlignment="1">
      <alignment wrapText="1"/>
    </xf>
    <xf numFmtId="0" fontId="19" fillId="2" borderId="3" xfId="0" applyFont="1" applyFill="1" applyBorder="1" applyAlignment="1">
      <alignment wrapText="1"/>
    </xf>
    <xf numFmtId="0" fontId="7" fillId="2" borderId="0" xfId="0" applyFont="1" applyFill="1" applyBorder="1" applyAlignment="1">
      <alignment wrapText="1"/>
    </xf>
    <xf numFmtId="0" fontId="14" fillId="0" borderId="5" xfId="0" applyFont="1" applyBorder="1" applyAlignment="1">
      <alignment horizontal="right" vertical="center"/>
    </xf>
    <xf numFmtId="0" fontId="0" fillId="0" borderId="0" xfId="0" applyAlignment="1">
      <alignment horizontal="right"/>
    </xf>
    <xf numFmtId="0" fontId="14" fillId="0" borderId="0" xfId="0" applyFont="1" applyAlignment="1">
      <alignment horizontal="right"/>
    </xf>
    <xf numFmtId="0" fontId="14" fillId="0" borderId="0" xfId="0" applyFont="1"/>
    <xf numFmtId="0" fontId="14" fillId="0" borderId="0" xfId="0" applyFont="1" applyAlignment="1">
      <alignment horizontal="left"/>
    </xf>
    <xf numFmtId="0" fontId="0" fillId="0" borderId="0" xfId="0" applyAlignment="1">
      <alignment horizontal="left"/>
    </xf>
    <xf numFmtId="0" fontId="14" fillId="2" borderId="9" xfId="0" applyFont="1" applyFill="1" applyBorder="1" applyAlignment="1">
      <alignment horizontal="right" vertical="center"/>
    </xf>
    <xf numFmtId="1" fontId="14" fillId="2" borderId="1" xfId="0" applyNumberFormat="1" applyFont="1" applyFill="1" applyBorder="1"/>
    <xf numFmtId="0" fontId="7" fillId="2" borderId="1" xfId="0" applyFont="1" applyFill="1" applyBorder="1" applyAlignment="1"/>
    <xf numFmtId="0" fontId="22" fillId="2" borderId="3" xfId="0" applyFont="1" applyFill="1" applyBorder="1" applyAlignment="1"/>
    <xf numFmtId="0" fontId="7" fillId="2" borderId="15" xfId="0" applyFont="1" applyFill="1" applyBorder="1" applyAlignment="1"/>
    <xf numFmtId="0" fontId="14" fillId="2" borderId="7" xfId="0" applyFont="1" applyFill="1" applyBorder="1"/>
    <xf numFmtId="0" fontId="14" fillId="2" borderId="17" xfId="0" applyFont="1" applyFill="1" applyBorder="1"/>
    <xf numFmtId="0" fontId="16" fillId="0" borderId="11"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2"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2" fillId="0" borderId="0" xfId="0" applyFont="1" applyBorder="1"/>
    <xf numFmtId="0" fontId="2" fillId="0" borderId="0" xfId="2" applyFont="1" applyFill="1" applyBorder="1"/>
    <xf numFmtId="1" fontId="2" fillId="0" borderId="1" xfId="5" applyNumberFormat="1" applyFont="1" applyBorder="1"/>
    <xf numFmtId="1" fontId="2" fillId="0" borderId="1" xfId="2" applyNumberFormat="1" applyFont="1" applyBorder="1"/>
    <xf numFmtId="0" fontId="6" fillId="0" borderId="1" xfId="0" applyFont="1" applyBorder="1"/>
    <xf numFmtId="0" fontId="13" fillId="6" borderId="1" xfId="0" applyFont="1" applyFill="1" applyBorder="1"/>
    <xf numFmtId="0" fontId="14" fillId="2" borderId="18" xfId="0" applyFont="1" applyFill="1" applyBorder="1"/>
    <xf numFmtId="0" fontId="14" fillId="2" borderId="3" xfId="0" applyFont="1" applyFill="1" applyBorder="1"/>
    <xf numFmtId="0" fontId="14" fillId="2" borderId="15" xfId="0" applyFont="1" applyFill="1" applyBorder="1"/>
    <xf numFmtId="1" fontId="14" fillId="2" borderId="3" xfId="0" applyNumberFormat="1" applyFont="1" applyFill="1" applyBorder="1"/>
    <xf numFmtId="1" fontId="14" fillId="2" borderId="15" xfId="0" applyNumberFormat="1" applyFont="1" applyFill="1" applyBorder="1"/>
    <xf numFmtId="0" fontId="14" fillId="2" borderId="1" xfId="0" applyFont="1" applyFill="1" applyBorder="1" applyAlignment="1">
      <alignment horizontal="right" vertical="center"/>
    </xf>
    <xf numFmtId="0" fontId="13" fillId="2" borderId="1" xfId="0" applyFont="1" applyFill="1" applyBorder="1"/>
    <xf numFmtId="0" fontId="13" fillId="7" borderId="1" xfId="0" applyFont="1" applyFill="1" applyBorder="1"/>
    <xf numFmtId="1" fontId="13" fillId="7" borderId="1" xfId="0" applyNumberFormat="1" applyFont="1" applyFill="1" applyBorder="1"/>
    <xf numFmtId="0" fontId="13" fillId="0" borderId="1" xfId="0" applyFont="1" applyBorder="1"/>
    <xf numFmtId="1" fontId="13" fillId="6" borderId="1" xfId="0" applyNumberFormat="1" applyFont="1" applyFill="1" applyBorder="1"/>
    <xf numFmtId="0" fontId="14" fillId="9" borderId="1" xfId="0" applyFont="1" applyFill="1" applyBorder="1"/>
    <xf numFmtId="1" fontId="14" fillId="6" borderId="15" xfId="0" applyNumberFormat="1" applyFont="1" applyFill="1" applyBorder="1"/>
    <xf numFmtId="0" fontId="14" fillId="2" borderId="4" xfId="0" applyFont="1" applyFill="1" applyBorder="1"/>
    <xf numFmtId="1" fontId="14" fillId="0" borderId="26" xfId="0" applyNumberFormat="1" applyFont="1" applyBorder="1"/>
    <xf numFmtId="0" fontId="14" fillId="6" borderId="25" xfId="0" applyFont="1" applyFill="1" applyBorder="1"/>
    <xf numFmtId="1" fontId="14" fillId="6" borderId="25" xfId="0" applyNumberFormat="1" applyFont="1" applyFill="1" applyBorder="1"/>
    <xf numFmtId="0" fontId="14" fillId="2" borderId="15" xfId="0" applyFont="1" applyFill="1" applyBorder="1" applyAlignment="1">
      <alignment horizontal="right"/>
    </xf>
    <xf numFmtId="0" fontId="14" fillId="2" borderId="15" xfId="0" applyFont="1" applyFill="1" applyBorder="1" applyAlignment="1">
      <alignment horizontal="right" vertical="center"/>
    </xf>
    <xf numFmtId="0" fontId="14" fillId="2" borderId="2" xfId="0" applyFont="1" applyFill="1" applyBorder="1"/>
    <xf numFmtId="0" fontId="14" fillId="2" borderId="19" xfId="0" applyFont="1" applyFill="1" applyBorder="1"/>
    <xf numFmtId="0" fontId="11" fillId="2" borderId="1" xfId="5" applyFont="1" applyFill="1" applyBorder="1" applyAlignment="1">
      <alignment horizontal="left"/>
    </xf>
    <xf numFmtId="0" fontId="14" fillId="2" borderId="17" xfId="0" applyFont="1" applyFill="1" applyBorder="1" applyAlignment="1">
      <alignment horizontal="right"/>
    </xf>
    <xf numFmtId="0" fontId="14" fillId="2" borderId="19" xfId="0" applyFont="1" applyFill="1" applyBorder="1" applyAlignment="1">
      <alignment horizontal="right"/>
    </xf>
    <xf numFmtId="0" fontId="14" fillId="2" borderId="16" xfId="0" applyFont="1" applyFill="1" applyBorder="1" applyAlignment="1">
      <alignment horizontal="right" vertical="center"/>
    </xf>
    <xf numFmtId="0" fontId="23" fillId="0" borderId="1" xfId="5" applyFont="1" applyBorder="1" applyAlignment="1">
      <alignment horizontal="right"/>
    </xf>
    <xf numFmtId="0" fontId="23" fillId="0" borderId="1" xfId="2" applyFont="1" applyBorder="1" applyAlignment="1">
      <alignment horizontal="right"/>
    </xf>
    <xf numFmtId="0" fontId="23" fillId="0" borderId="1" xfId="5" applyFont="1" applyBorder="1"/>
    <xf numFmtId="0" fontId="23" fillId="0" borderId="1" xfId="2" applyFont="1" applyBorder="1"/>
    <xf numFmtId="0" fontId="11" fillId="7" borderId="1" xfId="5" applyFont="1" applyFill="1" applyBorder="1" applyAlignment="1">
      <alignment horizontal="left" wrapText="1"/>
    </xf>
    <xf numFmtId="0" fontId="14" fillId="2" borderId="0" xfId="0" applyFont="1" applyFill="1" applyBorder="1" applyAlignment="1">
      <alignment horizontal="right"/>
    </xf>
    <xf numFmtId="0" fontId="14" fillId="2" borderId="0" xfId="0" applyFont="1" applyFill="1" applyBorder="1" applyAlignment="1">
      <alignment horizontal="right" vertical="center"/>
    </xf>
    <xf numFmtId="1" fontId="14" fillId="0" borderId="24" xfId="0" applyNumberFormat="1" applyFont="1" applyBorder="1"/>
    <xf numFmtId="0" fontId="14" fillId="0" borderId="17" xfId="0" applyFont="1" applyBorder="1" applyAlignment="1">
      <alignment horizontal="right" vertical="center"/>
    </xf>
    <xf numFmtId="0" fontId="14" fillId="7" borderId="1" xfId="0" applyFont="1" applyFill="1" applyBorder="1" applyAlignment="1">
      <alignment horizontal="right" vertical="center"/>
    </xf>
    <xf numFmtId="0" fontId="14" fillId="7" borderId="17" xfId="0" applyFont="1" applyFill="1" applyBorder="1" applyAlignment="1">
      <alignment horizontal="right"/>
    </xf>
    <xf numFmtId="0" fontId="11" fillId="0" borderId="1" xfId="5" applyFont="1" applyFill="1" applyBorder="1" applyAlignment="1">
      <alignment horizontal="left" wrapText="1"/>
    </xf>
    <xf numFmtId="0" fontId="14" fillId="0" borderId="1" xfId="0" applyFont="1" applyFill="1" applyBorder="1" applyAlignment="1">
      <alignment horizontal="right" vertical="center"/>
    </xf>
    <xf numFmtId="0" fontId="14" fillId="0" borderId="17" xfId="0" applyFont="1" applyFill="1" applyBorder="1" applyAlignment="1">
      <alignment horizontal="right"/>
    </xf>
    <xf numFmtId="0" fontId="14" fillId="0" borderId="0" xfId="0" applyFont="1" applyFill="1"/>
    <xf numFmtId="0" fontId="0" fillId="2" borderId="0" xfId="0" applyFill="1"/>
    <xf numFmtId="1" fontId="14" fillId="2" borderId="0" xfId="0" applyNumberFormat="1" applyFont="1" applyFill="1" applyBorder="1"/>
    <xf numFmtId="0" fontId="18" fillId="2" borderId="3" xfId="0" applyFont="1" applyFill="1" applyBorder="1" applyAlignment="1">
      <alignment wrapText="1"/>
    </xf>
    <xf numFmtId="0" fontId="14" fillId="2" borderId="17" xfId="0" applyFont="1" applyFill="1" applyBorder="1" applyAlignment="1">
      <alignment horizontal="right" vertical="center"/>
    </xf>
    <xf numFmtId="0" fontId="0" fillId="6" borderId="1" xfId="0" applyFill="1" applyBorder="1"/>
    <xf numFmtId="0" fontId="0" fillId="0" borderId="4" xfId="0" applyBorder="1"/>
    <xf numFmtId="0" fontId="0" fillId="0" borderId="17" xfId="0" applyBorder="1"/>
    <xf numFmtId="1" fontId="14" fillId="2" borderId="23" xfId="0" applyNumberFormat="1" applyFont="1" applyFill="1" applyBorder="1"/>
    <xf numFmtId="0" fontId="14" fillId="0" borderId="15" xfId="0" applyFont="1" applyBorder="1" applyAlignment="1">
      <alignment horizontal="right"/>
    </xf>
    <xf numFmtId="0" fontId="14" fillId="0" borderId="15" xfId="0" applyFont="1" applyBorder="1" applyAlignment="1">
      <alignment horizontal="right" vertical="center"/>
    </xf>
    <xf numFmtId="0" fontId="14" fillId="0" borderId="19" xfId="0" applyFont="1" applyBorder="1" applyAlignment="1">
      <alignment horizontal="right"/>
    </xf>
    <xf numFmtId="0" fontId="0" fillId="0" borderId="15" xfId="0" applyBorder="1"/>
    <xf numFmtId="0" fontId="0" fillId="0" borderId="19" xfId="0" applyBorder="1"/>
    <xf numFmtId="0" fontId="21" fillId="2" borderId="3" xfId="5" applyFont="1" applyFill="1" applyBorder="1" applyAlignment="1"/>
    <xf numFmtId="0" fontId="0" fillId="0" borderId="0" xfId="0" applyAlignment="1">
      <alignment wrapText="1"/>
    </xf>
    <xf numFmtId="0" fontId="13" fillId="2" borderId="8" xfId="0" applyFont="1" applyFill="1" applyBorder="1" applyAlignment="1">
      <alignment horizontal="center"/>
    </xf>
    <xf numFmtId="0" fontId="13" fillId="2" borderId="14" xfId="0" applyFont="1" applyFill="1" applyBorder="1" applyAlignment="1">
      <alignment horizontal="center"/>
    </xf>
    <xf numFmtId="0" fontId="15" fillId="2" borderId="24" xfId="0" applyFont="1" applyFill="1" applyBorder="1" applyAlignment="1">
      <alignment wrapText="1"/>
    </xf>
    <xf numFmtId="0" fontId="15" fillId="2" borderId="27" xfId="0" applyFont="1" applyFill="1" applyBorder="1" applyAlignment="1">
      <alignment wrapText="1"/>
    </xf>
    <xf numFmtId="0" fontId="11" fillId="2" borderId="29" xfId="5" applyFont="1" applyFill="1" applyBorder="1" applyAlignment="1">
      <alignment horizontal="left" wrapText="1"/>
    </xf>
    <xf numFmtId="0" fontId="11" fillId="7" borderId="29" xfId="5" applyFont="1" applyFill="1" applyBorder="1" applyAlignment="1">
      <alignment horizontal="left" wrapText="1"/>
    </xf>
    <xf numFmtId="0" fontId="17" fillId="2" borderId="27" xfId="5" applyFont="1" applyFill="1" applyBorder="1" applyAlignment="1">
      <alignment horizontal="left" wrapText="1"/>
    </xf>
    <xf numFmtId="0" fontId="11" fillId="2" borderId="30" xfId="5" applyFont="1" applyFill="1" applyBorder="1" applyAlignment="1">
      <alignment horizontal="left" wrapText="1"/>
    </xf>
    <xf numFmtId="0" fontId="11" fillId="0" borderId="29" xfId="5" applyFont="1" applyFill="1" applyBorder="1" applyAlignment="1">
      <alignment horizontal="left" wrapText="1"/>
    </xf>
    <xf numFmtId="0" fontId="11" fillId="2" borderId="29" xfId="5" applyFont="1" applyFill="1" applyBorder="1" applyAlignment="1">
      <alignment horizontal="left"/>
    </xf>
    <xf numFmtId="0" fontId="18" fillId="2" borderId="27" xfId="0" applyFont="1" applyFill="1" applyBorder="1" applyAlignment="1">
      <alignment wrapText="1"/>
    </xf>
    <xf numFmtId="0" fontId="19" fillId="2" borderId="27" xfId="0" applyFont="1" applyFill="1" applyBorder="1" applyAlignment="1">
      <alignment wrapText="1"/>
    </xf>
    <xf numFmtId="0" fontId="7" fillId="2" borderId="29" xfId="0" applyFont="1" applyFill="1" applyBorder="1" applyAlignment="1">
      <alignment wrapText="1"/>
    </xf>
    <xf numFmtId="0" fontId="7" fillId="2" borderId="30" xfId="0" applyFont="1" applyFill="1" applyBorder="1" applyAlignment="1">
      <alignment wrapText="1"/>
    </xf>
    <xf numFmtId="0" fontId="21" fillId="2" borderId="27" xfId="5" applyFont="1" applyFill="1" applyBorder="1" applyAlignment="1">
      <alignment wrapText="1"/>
    </xf>
    <xf numFmtId="0" fontId="22" fillId="2" borderId="27" xfId="0" applyFont="1" applyFill="1" applyBorder="1" applyAlignment="1">
      <alignment wrapText="1"/>
    </xf>
    <xf numFmtId="0" fontId="0" fillId="0" borderId="0" xfId="0" applyBorder="1"/>
    <xf numFmtId="0" fontId="15" fillId="2" borderId="3" xfId="0" applyFont="1" applyFill="1" applyBorder="1" applyAlignment="1">
      <alignment wrapText="1"/>
    </xf>
    <xf numFmtId="0" fontId="11" fillId="2" borderId="1" xfId="5" applyFont="1" applyFill="1" applyBorder="1" applyAlignment="1">
      <alignment horizontal="right" wrapText="1"/>
    </xf>
    <xf numFmtId="0" fontId="11" fillId="7" borderId="1" xfId="5" applyFont="1" applyFill="1" applyBorder="1" applyAlignment="1">
      <alignment horizontal="right" wrapText="1"/>
    </xf>
    <xf numFmtId="0" fontId="11" fillId="2" borderId="6" xfId="5" applyFont="1" applyFill="1" applyBorder="1" applyAlignment="1">
      <alignment horizontal="left" wrapText="1"/>
    </xf>
    <xf numFmtId="0" fontId="0" fillId="0" borderId="6" xfId="0" applyBorder="1"/>
    <xf numFmtId="0" fontId="0" fillId="2" borderId="6" xfId="0" applyFill="1" applyBorder="1" applyAlignment="1">
      <alignment wrapText="1"/>
    </xf>
    <xf numFmtId="0" fontId="7" fillId="2" borderId="6" xfId="0" applyFont="1" applyFill="1" applyBorder="1" applyAlignment="1"/>
    <xf numFmtId="0" fontId="0" fillId="2" borderId="6" xfId="0" applyFill="1" applyBorder="1" applyAlignment="1"/>
    <xf numFmtId="0" fontId="0" fillId="0" borderId="6" xfId="0" applyBorder="1" applyAlignment="1">
      <alignment horizontal="right"/>
    </xf>
    <xf numFmtId="0" fontId="14" fillId="3" borderId="1" xfId="0" applyFont="1" applyFill="1" applyBorder="1"/>
    <xf numFmtId="0" fontId="11" fillId="3" borderId="29" xfId="5" applyFont="1" applyFill="1" applyBorder="1" applyAlignment="1">
      <alignment horizontal="left" wrapText="1"/>
    </xf>
    <xf numFmtId="0" fontId="14" fillId="3" borderId="1" xfId="0" applyFont="1" applyFill="1" applyBorder="1" applyAlignment="1">
      <alignment horizontal="right"/>
    </xf>
    <xf numFmtId="0" fontId="14" fillId="3" borderId="9" xfId="0" applyFont="1" applyFill="1" applyBorder="1" applyAlignment="1">
      <alignment horizontal="right" vertical="center"/>
    </xf>
    <xf numFmtId="0" fontId="13" fillId="3" borderId="1" xfId="5" applyFont="1" applyFill="1" applyBorder="1" applyAlignment="1">
      <alignment horizontal="right"/>
    </xf>
    <xf numFmtId="0" fontId="15" fillId="2" borderId="12" xfId="0" applyFont="1" applyFill="1" applyBorder="1" applyAlignment="1">
      <alignment wrapText="1"/>
    </xf>
    <xf numFmtId="0" fontId="16" fillId="0" borderId="9" xfId="0" applyFont="1" applyFill="1" applyBorder="1" applyAlignment="1">
      <alignment horizontal="center" vertical="center" wrapText="1"/>
    </xf>
    <xf numFmtId="0" fontId="15" fillId="5" borderId="6" xfId="0" applyFont="1" applyFill="1" applyBorder="1"/>
    <xf numFmtId="0" fontId="14" fillId="5" borderId="6" xfId="0" applyFont="1" applyFill="1" applyBorder="1"/>
    <xf numFmtId="0" fontId="14" fillId="2" borderId="6" xfId="0" applyFont="1" applyFill="1" applyBorder="1"/>
    <xf numFmtId="0" fontId="16" fillId="0" borderId="31" xfId="0" applyFont="1" applyBorder="1" applyAlignment="1">
      <alignment horizontal="center" vertical="center" wrapText="1"/>
    </xf>
    <xf numFmtId="0" fontId="16" fillId="0" borderId="12" xfId="0" applyFont="1" applyFill="1" applyBorder="1" applyAlignment="1">
      <alignment horizontal="center" vertical="center" wrapText="1"/>
    </xf>
    <xf numFmtId="0" fontId="14" fillId="2" borderId="10" xfId="0" applyFont="1" applyFill="1" applyBorder="1"/>
    <xf numFmtId="1" fontId="14" fillId="7" borderId="10" xfId="0" applyNumberFormat="1" applyFont="1" applyFill="1" applyBorder="1"/>
    <xf numFmtId="0" fontId="14" fillId="7" borderId="10" xfId="0" applyFont="1" applyFill="1" applyBorder="1"/>
    <xf numFmtId="9" fontId="14" fillId="2" borderId="10" xfId="1" applyFont="1" applyFill="1" applyBorder="1"/>
    <xf numFmtId="0" fontId="14" fillId="6" borderId="8" xfId="0" applyFont="1" applyFill="1" applyBorder="1"/>
    <xf numFmtId="0" fontId="14" fillId="7" borderId="8" xfId="0" applyFont="1" applyFill="1" applyBorder="1"/>
    <xf numFmtId="0" fontId="14" fillId="7" borderId="14" xfId="0" applyFont="1" applyFill="1" applyBorder="1"/>
    <xf numFmtId="0" fontId="14" fillId="2" borderId="8" xfId="0" applyFont="1" applyFill="1" applyBorder="1"/>
    <xf numFmtId="9" fontId="14" fillId="2" borderId="0" xfId="0" applyNumberFormat="1" applyFont="1" applyFill="1"/>
    <xf numFmtId="9" fontId="14" fillId="2" borderId="1" xfId="1" applyFont="1" applyFill="1" applyBorder="1"/>
    <xf numFmtId="9" fontId="14" fillId="2" borderId="15" xfId="1" applyFont="1" applyFill="1" applyBorder="1"/>
    <xf numFmtId="0" fontId="17" fillId="2" borderId="10" xfId="5" applyFont="1" applyFill="1" applyBorder="1" applyAlignment="1">
      <alignment horizontal="left" wrapText="1"/>
    </xf>
    <xf numFmtId="0" fontId="14" fillId="0" borderId="10" xfId="0" applyFont="1" applyBorder="1" applyAlignment="1">
      <alignment horizontal="right"/>
    </xf>
    <xf numFmtId="0" fontId="14" fillId="0" borderId="10" xfId="0" applyFont="1" applyBorder="1" applyAlignment="1">
      <alignment horizontal="right" vertical="center"/>
    </xf>
    <xf numFmtId="0" fontId="14" fillId="0" borderId="32" xfId="0" applyFont="1" applyBorder="1" applyAlignment="1">
      <alignment horizontal="right"/>
    </xf>
    <xf numFmtId="0" fontId="11" fillId="2" borderId="28" xfId="5" applyFont="1" applyFill="1" applyBorder="1" applyAlignment="1">
      <alignment horizontal="left" wrapText="1"/>
    </xf>
    <xf numFmtId="9" fontId="14" fillId="2" borderId="0" xfId="1" applyFont="1" applyFill="1" applyBorder="1"/>
    <xf numFmtId="0" fontId="14" fillId="5" borderId="0" xfId="0" applyFont="1" applyFill="1" applyBorder="1"/>
    <xf numFmtId="9" fontId="14" fillId="2" borderId="23" xfId="1" applyFont="1" applyFill="1" applyBorder="1"/>
    <xf numFmtId="9" fontId="14" fillId="2" borderId="3" xfId="1" applyFont="1" applyFill="1" applyBorder="1"/>
    <xf numFmtId="0" fontId="14" fillId="10" borderId="17" xfId="0" applyFont="1" applyFill="1" applyBorder="1"/>
    <xf numFmtId="0" fontId="7" fillId="7" borderId="29" xfId="0" applyFont="1" applyFill="1" applyBorder="1" applyAlignment="1">
      <alignment wrapText="1"/>
    </xf>
    <xf numFmtId="0" fontId="24" fillId="2" borderId="0" xfId="0" applyFont="1" applyFill="1" applyBorder="1"/>
    <xf numFmtId="0" fontId="14" fillId="2" borderId="21" xfId="0" applyFont="1" applyFill="1" applyBorder="1"/>
    <xf numFmtId="0" fontId="0" fillId="2" borderId="0" xfId="0" applyFill="1" applyBorder="1"/>
    <xf numFmtId="0" fontId="24" fillId="2" borderId="2" xfId="0" applyFont="1" applyFill="1" applyBorder="1"/>
    <xf numFmtId="0" fontId="24" fillId="2" borderId="7" xfId="0" applyFont="1" applyFill="1" applyBorder="1"/>
    <xf numFmtId="0" fontId="24" fillId="2" borderId="18" xfId="0" applyFont="1" applyFill="1" applyBorder="1"/>
    <xf numFmtId="0" fontId="0" fillId="5" borderId="6" xfId="0" applyFill="1" applyBorder="1"/>
    <xf numFmtId="0" fontId="0" fillId="5" borderId="0" xfId="0" applyFill="1"/>
    <xf numFmtId="0" fontId="24" fillId="2" borderId="23" xfId="0" applyFont="1" applyFill="1" applyBorder="1"/>
    <xf numFmtId="0" fontId="24" fillId="2" borderId="33" xfId="0" applyFont="1" applyFill="1" applyBorder="1"/>
    <xf numFmtId="0" fontId="24" fillId="0" borderId="7" xfId="0" applyFont="1" applyBorder="1"/>
    <xf numFmtId="0" fontId="15" fillId="2" borderId="12" xfId="0" applyFont="1" applyFill="1" applyBorder="1"/>
    <xf numFmtId="0" fontId="16" fillId="0" borderId="12" xfId="0" applyFont="1" applyBorder="1" applyAlignment="1">
      <alignment horizontal="center" vertical="center" wrapText="1"/>
    </xf>
    <xf numFmtId="0" fontId="0" fillId="0" borderId="12" xfId="0" applyBorder="1"/>
    <xf numFmtId="0" fontId="13" fillId="2" borderId="21" xfId="0" applyFont="1" applyFill="1" applyBorder="1" applyAlignment="1">
      <alignment horizontal="center"/>
    </xf>
    <xf numFmtId="1" fontId="14" fillId="0" borderId="10" xfId="0" applyNumberFormat="1" applyFont="1" applyBorder="1"/>
    <xf numFmtId="0" fontId="14" fillId="2" borderId="32" xfId="0" applyFont="1" applyFill="1" applyBorder="1"/>
    <xf numFmtId="0" fontId="13" fillId="7" borderId="1" xfId="0" applyFont="1" applyFill="1" applyBorder="1" applyAlignment="1">
      <alignment horizontal="center"/>
    </xf>
    <xf numFmtId="0" fontId="14" fillId="8" borderId="1" xfId="0" applyFont="1" applyFill="1" applyBorder="1"/>
    <xf numFmtId="9" fontId="14" fillId="8" borderId="1" xfId="0" applyNumberFormat="1" applyFont="1" applyFill="1" applyBorder="1"/>
    <xf numFmtId="0" fontId="13" fillId="6" borderId="1" xfId="0" applyFont="1" applyFill="1" applyBorder="1" applyAlignment="1">
      <alignment horizontal="center"/>
    </xf>
    <xf numFmtId="9" fontId="14" fillId="6" borderId="1" xfId="1" applyFont="1" applyFill="1" applyBorder="1"/>
    <xf numFmtId="9" fontId="14" fillId="7" borderId="1" xfId="1" applyFont="1" applyFill="1" applyBorder="1"/>
    <xf numFmtId="9" fontId="14" fillId="9" borderId="1" xfId="1" applyFont="1" applyFill="1" applyBorder="1"/>
    <xf numFmtId="0" fontId="13" fillId="2" borderId="1" xfId="0" applyFont="1" applyFill="1" applyBorder="1" applyAlignment="1">
      <alignment horizontal="center"/>
    </xf>
    <xf numFmtId="9" fontId="13" fillId="6" borderId="1" xfId="1" applyFont="1" applyFill="1" applyBorder="1"/>
    <xf numFmtId="0" fontId="6" fillId="0" borderId="2" xfId="0" applyFont="1" applyBorder="1"/>
    <xf numFmtId="0" fontId="13" fillId="7" borderId="3" xfId="0" applyFont="1" applyFill="1" applyBorder="1" applyAlignment="1">
      <alignment horizontal="center"/>
    </xf>
    <xf numFmtId="0" fontId="14" fillId="6" borderId="3" xfId="0" applyFont="1" applyFill="1" applyBorder="1"/>
    <xf numFmtId="9" fontId="14" fillId="6" borderId="3" xfId="0" applyNumberFormat="1" applyFont="1" applyFill="1" applyBorder="1"/>
    <xf numFmtId="0" fontId="6" fillId="2" borderId="7" xfId="0" applyFont="1" applyFill="1" applyBorder="1"/>
    <xf numFmtId="0" fontId="6" fillId="0" borderId="7" xfId="0" applyFont="1" applyBorder="1"/>
    <xf numFmtId="0" fontId="13" fillId="6" borderId="15" xfId="0" applyFont="1" applyFill="1" applyBorder="1" applyAlignment="1">
      <alignment horizontal="center"/>
    </xf>
    <xf numFmtId="9" fontId="14" fillId="6" borderId="15" xfId="1" applyFont="1" applyFill="1" applyBorder="1"/>
    <xf numFmtId="0" fontId="18" fillId="2" borderId="20" xfId="0" applyFont="1" applyFill="1" applyBorder="1" applyAlignment="1">
      <alignment wrapText="1"/>
    </xf>
    <xf numFmtId="0" fontId="15" fillId="2" borderId="23" xfId="0" applyFont="1" applyFill="1" applyBorder="1" applyAlignment="1">
      <alignment wrapText="1"/>
    </xf>
    <xf numFmtId="0" fontId="16" fillId="0" borderId="23" xfId="0" applyFont="1" applyBorder="1" applyAlignment="1">
      <alignment horizontal="center" vertical="center" wrapText="1"/>
    </xf>
    <xf numFmtId="0" fontId="16" fillId="0" borderId="6" xfId="0" applyFont="1" applyBorder="1" applyAlignment="1">
      <alignment horizontal="center" vertical="center" wrapText="1"/>
    </xf>
    <xf numFmtId="0" fontId="11" fillId="2" borderId="27" xfId="5" applyFont="1" applyFill="1" applyBorder="1" applyAlignment="1">
      <alignment horizontal="left" wrapText="1"/>
    </xf>
    <xf numFmtId="0" fontId="14" fillId="2" borderId="3" xfId="0" applyFont="1" applyFill="1" applyBorder="1" applyAlignment="1">
      <alignment horizontal="right"/>
    </xf>
    <xf numFmtId="0" fontId="14" fillId="2" borderId="5" xfId="0" applyFont="1" applyFill="1" applyBorder="1" applyAlignment="1">
      <alignment horizontal="right" vertical="center"/>
    </xf>
    <xf numFmtId="0" fontId="13" fillId="2" borderId="3" xfId="5" applyFont="1" applyFill="1" applyBorder="1" applyAlignment="1">
      <alignment horizontal="right"/>
    </xf>
    <xf numFmtId="9" fontId="14" fillId="2" borderId="4" xfId="1" applyFont="1" applyFill="1" applyBorder="1"/>
    <xf numFmtId="9" fontId="14" fillId="3" borderId="17" xfId="1" applyFont="1" applyFill="1" applyBorder="1"/>
    <xf numFmtId="9" fontId="14" fillId="0" borderId="17" xfId="1" applyFont="1" applyBorder="1"/>
    <xf numFmtId="9" fontId="14" fillId="2" borderId="17" xfId="1" applyFont="1" applyFill="1" applyBorder="1"/>
    <xf numFmtId="9" fontId="14" fillId="7" borderId="17" xfId="1" applyFont="1" applyFill="1" applyBorder="1"/>
    <xf numFmtId="0" fontId="14" fillId="7" borderId="17" xfId="0" applyFont="1" applyFill="1" applyBorder="1"/>
    <xf numFmtId="0" fontId="16" fillId="2" borderId="0" xfId="0" applyFont="1" applyFill="1" applyBorder="1" applyAlignment="1">
      <alignment horizontal="center" vertical="center" wrapText="1"/>
    </xf>
    <xf numFmtId="0" fontId="16" fillId="2" borderId="12" xfId="0" applyFont="1" applyFill="1" applyBorder="1" applyAlignment="1">
      <alignment horizontal="center" vertical="center" wrapText="1"/>
    </xf>
    <xf numFmtId="9" fontId="14" fillId="2" borderId="3" xfId="0" applyNumberFormat="1" applyFont="1" applyFill="1" applyBorder="1"/>
    <xf numFmtId="9" fontId="14" fillId="2" borderId="1" xfId="0" applyNumberFormat="1" applyFont="1" applyFill="1" applyBorder="1"/>
    <xf numFmtId="9" fontId="13" fillId="2" borderId="1" xfId="1" applyFont="1" applyFill="1" applyBorder="1"/>
    <xf numFmtId="0" fontId="24" fillId="7" borderId="7" xfId="0" applyFont="1" applyFill="1" applyBorder="1"/>
    <xf numFmtId="0" fontId="11" fillId="7" borderId="30" xfId="5" applyFont="1" applyFill="1" applyBorder="1" applyAlignment="1">
      <alignment horizontal="left" wrapText="1"/>
    </xf>
    <xf numFmtId="0" fontId="11" fillId="7" borderId="15" xfId="5" applyFont="1" applyFill="1" applyBorder="1" applyAlignment="1">
      <alignment horizontal="left" wrapText="1"/>
    </xf>
    <xf numFmtId="0" fontId="14" fillId="7" borderId="15" xfId="0" applyFont="1" applyFill="1" applyBorder="1" applyAlignment="1">
      <alignment horizontal="right"/>
    </xf>
    <xf numFmtId="0" fontId="14" fillId="7" borderId="15" xfId="0" applyFont="1" applyFill="1" applyBorder="1" applyAlignment="1">
      <alignment horizontal="right" vertical="center"/>
    </xf>
    <xf numFmtId="0" fontId="14" fillId="7" borderId="19" xfId="0" applyFont="1" applyFill="1" applyBorder="1" applyAlignment="1">
      <alignment horizontal="right"/>
    </xf>
    <xf numFmtId="0" fontId="24" fillId="7" borderId="18" xfId="0" applyFont="1" applyFill="1" applyBorder="1"/>
    <xf numFmtId="9" fontId="14" fillId="7" borderId="15" xfId="1" applyFont="1" applyFill="1" applyBorder="1"/>
    <xf numFmtId="0" fontId="14" fillId="7" borderId="1" xfId="0" applyFont="1" applyFill="1" applyBorder="1" applyAlignment="1">
      <alignment horizontal="left"/>
    </xf>
    <xf numFmtId="3" fontId="3" fillId="0" borderId="1" xfId="1" applyNumberFormat="1" applyFont="1" applyBorder="1" applyAlignment="1">
      <alignment horizontal="right"/>
    </xf>
    <xf numFmtId="1" fontId="7" fillId="0" borderId="1" xfId="0" applyNumberFormat="1" applyFont="1" applyBorder="1" applyAlignment="1">
      <alignment horizontal="right"/>
    </xf>
    <xf numFmtId="1" fontId="25" fillId="2" borderId="34" xfId="7" applyNumberFormat="1" applyFont="1" applyFill="1" applyBorder="1"/>
    <xf numFmtId="1" fontId="2" fillId="0" borderId="1" xfId="2" applyNumberFormat="1" applyBorder="1"/>
    <xf numFmtId="9" fontId="6" fillId="0" borderId="10" xfId="1" applyFont="1" applyBorder="1"/>
    <xf numFmtId="0" fontId="23" fillId="0" borderId="1" xfId="2" applyFont="1" applyFill="1" applyBorder="1" applyAlignment="1">
      <alignment wrapText="1"/>
    </xf>
    <xf numFmtId="17" fontId="5" fillId="0" borderId="2" xfId="2" applyNumberFormat="1" applyFont="1" applyBorder="1" applyAlignment="1">
      <alignment horizontal="left"/>
    </xf>
    <xf numFmtId="0" fontId="2" fillId="0" borderId="3" xfId="2" applyBorder="1"/>
    <xf numFmtId="0" fontId="2" fillId="0" borderId="3" xfId="5" applyBorder="1"/>
    <xf numFmtId="0" fontId="0" fillId="0" borderId="3" xfId="0" applyBorder="1"/>
    <xf numFmtId="17" fontId="5" fillId="0" borderId="7" xfId="2" applyNumberFormat="1" applyFont="1" applyBorder="1" applyAlignment="1">
      <alignment horizontal="right"/>
    </xf>
    <xf numFmtId="0" fontId="23" fillId="0" borderId="17" xfId="2" applyFont="1" applyFill="1" applyBorder="1" applyAlignment="1">
      <alignment wrapText="1"/>
    </xf>
    <xf numFmtId="17" fontId="4" fillId="0" borderId="7" xfId="2" applyNumberFormat="1" applyFont="1" applyBorder="1" applyAlignment="1">
      <alignment horizontal="left"/>
    </xf>
    <xf numFmtId="0" fontId="4" fillId="0" borderId="7" xfId="2" applyFont="1" applyBorder="1"/>
    <xf numFmtId="1" fontId="6" fillId="0" borderId="0" xfId="0" applyNumberFormat="1" applyFont="1" applyBorder="1"/>
    <xf numFmtId="0" fontId="4" fillId="3" borderId="7" xfId="2" applyFont="1" applyFill="1" applyBorder="1"/>
    <xf numFmtId="0" fontId="4" fillId="2" borderId="7" xfId="2" applyFont="1" applyFill="1" applyBorder="1"/>
    <xf numFmtId="0" fontId="4" fillId="0" borderId="7" xfId="2" applyFont="1" applyBorder="1" applyAlignment="1">
      <alignment wrapText="1"/>
    </xf>
    <xf numFmtId="0" fontId="2" fillId="0" borderId="7" xfId="2" applyFont="1" applyBorder="1" applyAlignment="1">
      <alignment wrapText="1"/>
    </xf>
    <xf numFmtId="0" fontId="4" fillId="0" borderId="18" xfId="2" applyFont="1" applyBorder="1" applyAlignment="1">
      <alignment wrapText="1"/>
    </xf>
    <xf numFmtId="0" fontId="2" fillId="0" borderId="15" xfId="2" applyBorder="1"/>
    <xf numFmtId="0" fontId="2" fillId="0" borderId="15" xfId="5" applyBorder="1"/>
    <xf numFmtId="1" fontId="2" fillId="0" borderId="15" xfId="2" applyNumberFormat="1" applyBorder="1"/>
    <xf numFmtId="3" fontId="3" fillId="0" borderId="15" xfId="1" applyNumberFormat="1" applyFont="1" applyBorder="1" applyAlignment="1">
      <alignment horizontal="right"/>
    </xf>
    <xf numFmtId="9" fontId="6" fillId="0" borderId="15" xfId="1" applyFont="1" applyBorder="1"/>
    <xf numFmtId="0" fontId="0" fillId="0" borderId="5" xfId="0" applyBorder="1"/>
    <xf numFmtId="0" fontId="23" fillId="0" borderId="9" xfId="2" applyFont="1" applyFill="1" applyBorder="1" applyAlignment="1">
      <alignment wrapText="1"/>
    </xf>
    <xf numFmtId="1" fontId="6" fillId="0" borderId="35" xfId="1" applyNumberFormat="1" applyFont="1" applyBorder="1"/>
    <xf numFmtId="9" fontId="0" fillId="0" borderId="17" xfId="1" applyFont="1" applyBorder="1"/>
    <xf numFmtId="1" fontId="6" fillId="0" borderId="36" xfId="1" applyNumberFormat="1" applyFont="1" applyBorder="1"/>
    <xf numFmtId="9" fontId="0" fillId="0" borderId="19" xfId="1" applyFont="1" applyBorder="1"/>
    <xf numFmtId="0" fontId="2" fillId="0" borderId="3" xfId="2" applyFont="1" applyBorder="1"/>
    <xf numFmtId="0" fontId="2" fillId="0" borderId="3" xfId="5" applyFont="1" applyBorder="1"/>
    <xf numFmtId="0" fontId="12" fillId="0" borderId="4" xfId="0" applyFont="1" applyBorder="1"/>
    <xf numFmtId="17" fontId="4" fillId="0" borderId="7" xfId="2" applyNumberFormat="1" applyFont="1" applyBorder="1" applyAlignment="1">
      <alignment horizontal="right"/>
    </xf>
    <xf numFmtId="0" fontId="2" fillId="0" borderId="17" xfId="2" applyFont="1" applyFill="1" applyBorder="1"/>
    <xf numFmtId="17" fontId="2" fillId="0" borderId="7" xfId="2" applyNumberFormat="1" applyFont="1" applyBorder="1" applyAlignment="1">
      <alignment horizontal="left"/>
    </xf>
    <xf numFmtId="9" fontId="2" fillId="0" borderId="17" xfId="1" applyFont="1" applyBorder="1" applyAlignment="1">
      <alignment horizontal="right"/>
    </xf>
    <xf numFmtId="0" fontId="2" fillId="0" borderId="7" xfId="2" applyFont="1" applyBorder="1"/>
    <xf numFmtId="0" fontId="2" fillId="3" borderId="7" xfId="2" applyFont="1" applyFill="1" applyBorder="1"/>
    <xf numFmtId="0" fontId="2" fillId="2" borderId="7" xfId="2" applyFont="1" applyFill="1" applyBorder="1"/>
    <xf numFmtId="0" fontId="2" fillId="0" borderId="0" xfId="5" applyFont="1" applyBorder="1"/>
    <xf numFmtId="9" fontId="6" fillId="0" borderId="17" xfId="1" applyFont="1" applyBorder="1"/>
    <xf numFmtId="0" fontId="2" fillId="0" borderId="18" xfId="2" applyFont="1" applyBorder="1"/>
    <xf numFmtId="0" fontId="2" fillId="0" borderId="15" xfId="2" applyFont="1" applyBorder="1"/>
    <xf numFmtId="0" fontId="2" fillId="0" borderId="15" xfId="5" applyFont="1" applyFill="1" applyBorder="1"/>
    <xf numFmtId="9" fontId="2" fillId="0" borderId="19" xfId="1" applyFont="1" applyBorder="1" applyAlignment="1">
      <alignment horizontal="right"/>
    </xf>
    <xf numFmtId="1" fontId="2" fillId="0" borderId="0" xfId="5" applyNumberFormat="1" applyFont="1" applyBorder="1"/>
    <xf numFmtId="0" fontId="2" fillId="0" borderId="38" xfId="2" applyFont="1" applyFill="1" applyBorder="1" applyAlignment="1">
      <alignment wrapText="1"/>
    </xf>
    <xf numFmtId="0" fontId="23" fillId="0" borderId="9" xfId="2" applyFont="1" applyBorder="1"/>
    <xf numFmtId="0" fontId="23" fillId="0" borderId="8" xfId="2" applyFont="1" applyFill="1" applyBorder="1" applyAlignment="1">
      <alignment wrapText="1"/>
    </xf>
    <xf numFmtId="0" fontId="0" fillId="0" borderId="13" xfId="0" applyBorder="1"/>
    <xf numFmtId="3" fontId="3" fillId="0" borderId="10" xfId="1" applyNumberFormat="1" applyFont="1" applyBorder="1" applyAlignment="1">
      <alignment horizontal="right"/>
    </xf>
    <xf numFmtId="1" fontId="2" fillId="3" borderId="1" xfId="2" applyNumberFormat="1" applyFill="1" applyBorder="1"/>
    <xf numFmtId="9" fontId="0" fillId="7" borderId="17" xfId="1" applyFont="1" applyFill="1" applyBorder="1"/>
    <xf numFmtId="0" fontId="2" fillId="0" borderId="0" xfId="5" applyFont="1" applyBorder="1" applyAlignment="1">
      <alignment vertical="center"/>
    </xf>
    <xf numFmtId="9" fontId="2" fillId="0" borderId="0" xfId="7" applyFont="1" applyBorder="1" applyAlignment="1">
      <alignment horizontal="center" vertical="center"/>
    </xf>
    <xf numFmtId="0" fontId="2" fillId="0" borderId="0" xfId="5" applyFont="1" applyBorder="1" applyAlignment="1">
      <alignment horizontal="center" vertical="center"/>
    </xf>
    <xf numFmtId="0" fontId="2" fillId="0" borderId="0" xfId="5" applyFont="1" applyBorder="1" applyAlignment="1">
      <alignment horizontal="left" vertical="center"/>
    </xf>
    <xf numFmtId="0" fontId="2" fillId="2" borderId="0" xfId="5" applyFont="1" applyFill="1" applyBorder="1"/>
    <xf numFmtId="9" fontId="2" fillId="2" borderId="1" xfId="7" applyFont="1" applyFill="1" applyBorder="1"/>
    <xf numFmtId="9" fontId="2" fillId="2" borderId="1" xfId="7" applyNumberFormat="1" applyFont="1" applyFill="1" applyBorder="1"/>
    <xf numFmtId="0" fontId="2" fillId="2" borderId="1" xfId="5" applyFont="1" applyFill="1" applyBorder="1"/>
    <xf numFmtId="164" fontId="2" fillId="2" borderId="1" xfId="7" applyNumberFormat="1" applyFont="1" applyFill="1" applyBorder="1"/>
    <xf numFmtId="0" fontId="2" fillId="15" borderId="1" xfId="5" applyFont="1" applyFill="1" applyBorder="1"/>
    <xf numFmtId="0" fontId="23" fillId="15" borderId="1" xfId="5" applyFont="1" applyFill="1" applyBorder="1"/>
    <xf numFmtId="0" fontId="2" fillId="2" borderId="10" xfId="5" applyFont="1" applyFill="1" applyBorder="1"/>
    <xf numFmtId="0" fontId="2" fillId="14" borderId="1" xfId="5" applyFont="1" applyFill="1" applyBorder="1"/>
    <xf numFmtId="0" fontId="2" fillId="2" borderId="12" xfId="5" applyFont="1" applyFill="1" applyBorder="1"/>
    <xf numFmtId="0" fontId="2" fillId="13" borderId="1" xfId="5" applyFont="1" applyFill="1" applyBorder="1"/>
    <xf numFmtId="0" fontId="23" fillId="13" borderId="1" xfId="5" applyFont="1" applyFill="1" applyBorder="1"/>
    <xf numFmtId="0" fontId="2" fillId="12" borderId="1" xfId="5" applyFont="1" applyFill="1" applyBorder="1"/>
    <xf numFmtId="0" fontId="23" fillId="12" borderId="1" xfId="5" applyFont="1" applyFill="1" applyBorder="1"/>
    <xf numFmtId="0" fontId="2" fillId="11" borderId="1" xfId="5" applyFont="1" applyFill="1" applyBorder="1"/>
    <xf numFmtId="0" fontId="23" fillId="11" borderId="1" xfId="5" applyFont="1" applyFill="1" applyBorder="1"/>
    <xf numFmtId="9" fontId="2" fillId="0" borderId="37" xfId="7" applyFont="1" applyBorder="1" applyAlignment="1">
      <alignment horizontal="center" vertical="center"/>
    </xf>
    <xf numFmtId="0" fontId="2" fillId="0" borderId="37" xfId="5" applyFont="1" applyBorder="1" applyAlignment="1">
      <alignment horizontal="center" vertical="center"/>
    </xf>
    <xf numFmtId="0" fontId="2" fillId="0" borderId="37" xfId="5" applyFont="1" applyBorder="1" applyAlignment="1">
      <alignment horizontal="left" vertical="center"/>
    </xf>
    <xf numFmtId="0" fontId="23" fillId="0" borderId="0" xfId="5" applyFont="1" applyBorder="1" applyAlignment="1">
      <alignment vertical="center"/>
    </xf>
    <xf numFmtId="9" fontId="23" fillId="0" borderId="39" xfId="7" applyFont="1" applyBorder="1" applyAlignment="1">
      <alignment horizontal="center" vertical="center"/>
    </xf>
    <xf numFmtId="0" fontId="23" fillId="0" borderId="39" xfId="5" applyFont="1" applyBorder="1" applyAlignment="1">
      <alignment horizontal="center" vertical="center"/>
    </xf>
    <xf numFmtId="0" fontId="23" fillId="0" borderId="39" xfId="5" applyFont="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horizontal="center" vertical="center"/>
    </xf>
    <xf numFmtId="0" fontId="27" fillId="0" borderId="0" xfId="0" applyFont="1" applyBorder="1" applyAlignment="1">
      <alignment horizontal="center" vertical="center" wrapText="1"/>
    </xf>
    <xf numFmtId="0" fontId="27" fillId="12" borderId="0" xfId="0" applyFont="1" applyFill="1" applyBorder="1" applyAlignment="1">
      <alignment horizontal="center" vertical="center" wrapText="1"/>
    </xf>
    <xf numFmtId="0" fontId="6" fillId="0" borderId="0" xfId="0" applyFont="1" applyBorder="1" applyAlignment="1">
      <alignment horizontal="center" vertical="center"/>
    </xf>
    <xf numFmtId="9" fontId="6" fillId="12" borderId="0" xfId="1" applyFont="1" applyFill="1" applyBorder="1" applyAlignment="1">
      <alignment horizontal="center" vertical="center"/>
    </xf>
    <xf numFmtId="0" fontId="6" fillId="7" borderId="0" xfId="0" applyFont="1" applyFill="1" applyBorder="1" applyAlignment="1">
      <alignment horizontal="center" vertical="center"/>
    </xf>
    <xf numFmtId="9" fontId="6" fillId="7" borderId="0" xfId="1" applyFont="1" applyFill="1" applyBorder="1" applyAlignment="1">
      <alignment horizontal="center" vertical="center"/>
    </xf>
    <xf numFmtId="9" fontId="0" fillId="12" borderId="0" xfId="1" applyFont="1" applyFill="1" applyBorder="1" applyAlignment="1">
      <alignment horizontal="center" vertical="center"/>
    </xf>
    <xf numFmtId="0" fontId="26" fillId="0" borderId="0" xfId="0" applyFont="1" applyBorder="1" applyAlignment="1">
      <alignment horizontal="center" vertical="center"/>
    </xf>
    <xf numFmtId="9" fontId="15" fillId="12" borderId="0" xfId="1" applyFont="1" applyFill="1" applyBorder="1" applyAlignment="1">
      <alignment horizontal="center" vertical="center"/>
    </xf>
    <xf numFmtId="0" fontId="0" fillId="12" borderId="0" xfId="0" applyFill="1" applyBorder="1" applyAlignment="1">
      <alignment horizontal="center" vertical="center"/>
    </xf>
    <xf numFmtId="0" fontId="0" fillId="0" borderId="0" xfId="0"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Border="1" applyAlignment="1">
      <alignment horizontal="center" vertical="center"/>
    </xf>
    <xf numFmtId="0" fontId="12" fillId="7" borderId="0" xfId="0" applyFont="1" applyFill="1" applyBorder="1" applyAlignment="1">
      <alignment horizontal="center" vertical="center"/>
    </xf>
    <xf numFmtId="0" fontId="0" fillId="7" borderId="0" xfId="0" applyFill="1" applyBorder="1" applyAlignment="1">
      <alignment horizontal="center" vertical="center"/>
    </xf>
    <xf numFmtId="0" fontId="26" fillId="0" borderId="0" xfId="0" applyFont="1" applyFill="1" applyBorder="1" applyAlignment="1">
      <alignment horizontal="center" vertical="center"/>
    </xf>
    <xf numFmtId="0" fontId="0" fillId="0" borderId="0" xfId="0" applyBorder="1" applyAlignment="1">
      <alignment horizontal="left" vertical="center"/>
    </xf>
    <xf numFmtId="0" fontId="6" fillId="0" borderId="37" xfId="0" applyFont="1" applyBorder="1" applyAlignment="1">
      <alignment horizontal="center" vertical="center"/>
    </xf>
    <xf numFmtId="9" fontId="6" fillId="12" borderId="37" xfId="1" applyFont="1" applyFill="1" applyBorder="1" applyAlignment="1">
      <alignment horizontal="center" vertical="center"/>
    </xf>
    <xf numFmtId="0" fontId="6" fillId="7" borderId="37" xfId="0" applyFont="1" applyFill="1" applyBorder="1" applyAlignment="1">
      <alignment horizontal="center" vertical="center"/>
    </xf>
    <xf numFmtId="9" fontId="6" fillId="7" borderId="37" xfId="1" applyFont="1" applyFill="1" applyBorder="1" applyAlignment="1">
      <alignment horizontal="center" vertical="center"/>
    </xf>
    <xf numFmtId="0" fontId="27" fillId="0" borderId="20" xfId="0" applyFont="1" applyFill="1" applyBorder="1" applyAlignment="1">
      <alignment horizontal="center" vertical="center" wrapText="1"/>
    </xf>
    <xf numFmtId="0" fontId="27" fillId="0" borderId="43" xfId="0" applyFont="1" applyFill="1" applyBorder="1" applyAlignment="1">
      <alignment horizontal="center" vertical="center" wrapText="1"/>
    </xf>
    <xf numFmtId="0" fontId="6" fillId="0" borderId="29" xfId="0" applyFont="1" applyBorder="1" applyAlignment="1">
      <alignment horizontal="center" vertical="center"/>
    </xf>
    <xf numFmtId="0" fontId="6" fillId="0" borderId="44" xfId="0" applyFont="1" applyBorder="1" applyAlignment="1">
      <alignment horizontal="center" vertical="center"/>
    </xf>
    <xf numFmtId="0" fontId="6" fillId="7" borderId="20" xfId="0" applyFont="1" applyFill="1" applyBorder="1" applyAlignment="1">
      <alignment horizontal="center" vertical="center"/>
    </xf>
    <xf numFmtId="0" fontId="6" fillId="7" borderId="43" xfId="0" applyFont="1" applyFill="1" applyBorder="1" applyAlignment="1">
      <alignment horizontal="center" vertical="center"/>
    </xf>
    <xf numFmtId="0" fontId="6" fillId="7" borderId="29" xfId="0" applyFont="1" applyFill="1" applyBorder="1" applyAlignment="1">
      <alignment horizontal="center" vertical="center"/>
    </xf>
    <xf numFmtId="0" fontId="6" fillId="7" borderId="44" xfId="0" applyFont="1" applyFill="1" applyBorder="1" applyAlignment="1">
      <alignment horizontal="center" vertical="center"/>
    </xf>
    <xf numFmtId="0" fontId="6" fillId="0" borderId="20" xfId="0" applyFont="1" applyBorder="1" applyAlignment="1">
      <alignment horizontal="center" vertical="center"/>
    </xf>
    <xf numFmtId="0" fontId="6" fillId="0" borderId="43" xfId="0" applyFont="1" applyBorder="1" applyAlignment="1">
      <alignment horizontal="center" vertical="center"/>
    </xf>
    <xf numFmtId="0" fontId="27" fillId="0" borderId="43" xfId="0" applyFont="1" applyBorder="1" applyAlignment="1">
      <alignment horizontal="center" vertical="center" wrapText="1"/>
    </xf>
    <xf numFmtId="9" fontId="6" fillId="0" borderId="44" xfId="1" applyFont="1" applyBorder="1" applyAlignment="1">
      <alignment horizontal="center" vertical="center"/>
    </xf>
    <xf numFmtId="9" fontId="6" fillId="7" borderId="43" xfId="1" applyFont="1" applyFill="1" applyBorder="1" applyAlignment="1">
      <alignment horizontal="center" vertical="center"/>
    </xf>
    <xf numFmtId="9" fontId="6" fillId="7" borderId="44" xfId="1" applyFont="1" applyFill="1" applyBorder="1" applyAlignment="1">
      <alignment horizontal="center" vertical="center"/>
    </xf>
    <xf numFmtId="9" fontId="6" fillId="0" borderId="43" xfId="1" applyFont="1" applyBorder="1" applyAlignment="1">
      <alignment horizontal="center" vertical="center"/>
    </xf>
    <xf numFmtId="0" fontId="0" fillId="0" borderId="42" xfId="0" applyBorder="1" applyAlignment="1">
      <alignment horizontal="center" vertical="center"/>
    </xf>
    <xf numFmtId="0" fontId="27" fillId="2" borderId="43" xfId="0" applyFont="1" applyFill="1" applyBorder="1" applyAlignment="1">
      <alignment horizontal="center" vertical="center" wrapText="1"/>
    </xf>
    <xf numFmtId="0" fontId="2" fillId="2" borderId="29" xfId="5" applyFont="1" applyFill="1" applyBorder="1" applyAlignment="1">
      <alignment horizontal="left" vertical="center" wrapText="1"/>
    </xf>
    <xf numFmtId="0" fontId="2" fillId="2" borderId="44" xfId="5" applyFont="1" applyFill="1" applyBorder="1" applyAlignment="1">
      <alignment horizontal="center" vertical="center" wrapText="1"/>
    </xf>
    <xf numFmtId="0" fontId="2" fillId="7" borderId="20" xfId="5" applyFont="1" applyFill="1" applyBorder="1" applyAlignment="1">
      <alignment horizontal="left" vertical="center" wrapText="1"/>
    </xf>
    <xf numFmtId="0" fontId="2" fillId="7" borderId="43" xfId="5" applyFont="1" applyFill="1" applyBorder="1" applyAlignment="1">
      <alignment horizontal="center" vertical="center" wrapText="1"/>
    </xf>
    <xf numFmtId="0" fontId="2" fillId="7" borderId="29" xfId="5" applyFont="1" applyFill="1" applyBorder="1" applyAlignment="1">
      <alignment horizontal="left" vertical="center" wrapText="1"/>
    </xf>
    <xf numFmtId="0" fontId="2" fillId="7" borderId="44" xfId="5" applyFont="1" applyFill="1" applyBorder="1" applyAlignment="1">
      <alignment horizontal="center" vertical="center" wrapText="1"/>
    </xf>
    <xf numFmtId="0" fontId="2" fillId="2" borderId="20" xfId="5" applyFont="1" applyFill="1" applyBorder="1" applyAlignment="1">
      <alignment horizontal="left" vertical="center" wrapText="1"/>
    </xf>
    <xf numFmtId="0" fontId="2" fillId="2" borderId="43" xfId="5" applyFont="1" applyFill="1" applyBorder="1" applyAlignment="1">
      <alignment horizontal="center" vertical="center" wrapText="1"/>
    </xf>
    <xf numFmtId="0" fontId="2" fillId="2" borderId="45" xfId="5" applyFont="1" applyFill="1" applyBorder="1" applyAlignment="1">
      <alignment horizontal="left" vertical="center" wrapText="1"/>
    </xf>
    <xf numFmtId="0" fontId="2" fillId="2" borderId="46" xfId="5" applyFont="1" applyFill="1" applyBorder="1" applyAlignment="1">
      <alignment horizontal="center" vertical="center" wrapText="1"/>
    </xf>
    <xf numFmtId="0" fontId="6" fillId="0" borderId="45" xfId="0" applyFont="1" applyBorder="1" applyAlignment="1">
      <alignment horizontal="center" vertical="center"/>
    </xf>
    <xf numFmtId="0" fontId="6" fillId="0" borderId="40" xfId="0" applyFont="1" applyBorder="1" applyAlignment="1">
      <alignment horizontal="center" vertical="center"/>
    </xf>
    <xf numFmtId="9" fontId="6" fillId="0" borderId="46" xfId="1" applyFont="1" applyBorder="1" applyAlignment="1">
      <alignment horizontal="center" vertical="center"/>
    </xf>
    <xf numFmtId="9" fontId="6" fillId="12" borderId="40" xfId="1" applyFont="1" applyFill="1" applyBorder="1" applyAlignment="1">
      <alignment horizontal="center" vertical="center"/>
    </xf>
    <xf numFmtId="0" fontId="6" fillId="0" borderId="46" xfId="0" applyFont="1" applyBorder="1" applyAlignment="1">
      <alignment horizontal="center" vertical="center"/>
    </xf>
    <xf numFmtId="0" fontId="26" fillId="0" borderId="47" xfId="0" applyFont="1" applyBorder="1" applyAlignment="1">
      <alignment horizontal="left" vertical="center"/>
    </xf>
    <xf numFmtId="0" fontId="26" fillId="0" borderId="48" xfId="0" applyFont="1" applyBorder="1" applyAlignment="1">
      <alignment horizontal="center" vertical="center"/>
    </xf>
    <xf numFmtId="0" fontId="26" fillId="0" borderId="47" xfId="0" applyFont="1" applyBorder="1" applyAlignment="1">
      <alignment horizontal="center" vertical="center"/>
    </xf>
    <xf numFmtId="0" fontId="26" fillId="0" borderId="49" xfId="0" applyFont="1" applyBorder="1" applyAlignment="1">
      <alignment horizontal="center" vertical="center"/>
    </xf>
    <xf numFmtId="9" fontId="26" fillId="0" borderId="48" xfId="0" applyNumberFormat="1" applyFont="1" applyBorder="1" applyAlignment="1">
      <alignment horizontal="center" vertical="center"/>
    </xf>
    <xf numFmtId="9" fontId="15" fillId="12" borderId="49" xfId="1" applyFont="1" applyFill="1" applyBorder="1" applyAlignment="1">
      <alignment horizontal="center" vertical="center"/>
    </xf>
    <xf numFmtId="0" fontId="2" fillId="2" borderId="28" xfId="5" applyFont="1" applyFill="1" applyBorder="1" applyAlignment="1">
      <alignment horizontal="left" vertical="center" wrapText="1"/>
    </xf>
    <xf numFmtId="0" fontId="2" fillId="2" borderId="50" xfId="5" applyFont="1" applyFill="1" applyBorder="1" applyAlignment="1">
      <alignment horizontal="center" vertical="center" wrapText="1"/>
    </xf>
    <xf numFmtId="0" fontId="27" fillId="2" borderId="20" xfId="0" applyFont="1" applyFill="1" applyBorder="1" applyAlignment="1">
      <alignment horizontal="left" vertical="center" wrapText="1"/>
    </xf>
    <xf numFmtId="9" fontId="0" fillId="0" borderId="0" xfId="1" applyFont="1" applyFill="1" applyBorder="1" applyAlignment="1">
      <alignment horizontal="center" vertical="center"/>
    </xf>
    <xf numFmtId="0" fontId="0" fillId="2" borderId="0" xfId="0" applyFill="1" applyBorder="1" applyAlignment="1">
      <alignment horizontal="center" vertical="center"/>
    </xf>
    <xf numFmtId="0" fontId="9" fillId="7" borderId="0" xfId="0" applyFont="1" applyFill="1" applyBorder="1" applyAlignment="1">
      <alignment horizontal="center" vertical="center"/>
    </xf>
    <xf numFmtId="0" fontId="2" fillId="2" borderId="37" xfId="5" applyFont="1" applyFill="1" applyBorder="1" applyAlignment="1">
      <alignment horizontal="left" vertical="center"/>
    </xf>
    <xf numFmtId="0" fontId="2" fillId="2" borderId="37" xfId="5" applyFont="1" applyFill="1" applyBorder="1" applyAlignment="1">
      <alignment horizontal="center" vertical="center"/>
    </xf>
    <xf numFmtId="0" fontId="2" fillId="2" borderId="0" xfId="5" applyFont="1" applyFill="1" applyBorder="1" applyAlignment="1">
      <alignment vertical="center"/>
    </xf>
    <xf numFmtId="0" fontId="23" fillId="0" borderId="0" xfId="5" applyFont="1" applyBorder="1" applyAlignment="1">
      <alignment horizontal="left" vertical="center"/>
    </xf>
    <xf numFmtId="0" fontId="23" fillId="0" borderId="0" xfId="5" applyFont="1" applyBorder="1" applyAlignment="1">
      <alignment horizontal="center" vertical="center"/>
    </xf>
    <xf numFmtId="9" fontId="23" fillId="0" borderId="0" xfId="7" applyFont="1" applyBorder="1" applyAlignment="1">
      <alignment horizontal="center" vertical="center"/>
    </xf>
    <xf numFmtId="3" fontId="23" fillId="2" borderId="1" xfId="7" applyNumberFormat="1" applyFont="1" applyFill="1" applyBorder="1"/>
    <xf numFmtId="0" fontId="2" fillId="0" borderId="0" xfId="2" applyFont="1" applyBorder="1"/>
    <xf numFmtId="0" fontId="31" fillId="0" borderId="39" xfId="5" applyFont="1" applyBorder="1" applyAlignment="1">
      <alignment horizontal="left" vertical="center"/>
    </xf>
    <xf numFmtId="0" fontId="9" fillId="0" borderId="41" xfId="0" applyFont="1" applyBorder="1" applyAlignment="1">
      <alignment horizontal="left" vertical="center"/>
    </xf>
    <xf numFmtId="9" fontId="6" fillId="2" borderId="0" xfId="1" applyFont="1" applyFill="1" applyBorder="1"/>
    <xf numFmtId="0" fontId="23" fillId="2" borderId="0" xfId="2" applyFont="1" applyFill="1" applyBorder="1" applyAlignment="1">
      <alignment wrapText="1"/>
    </xf>
    <xf numFmtId="3" fontId="3" fillId="2" borderId="0" xfId="1" applyNumberFormat="1" applyFont="1" applyFill="1" applyBorder="1" applyAlignment="1">
      <alignment horizontal="right"/>
    </xf>
    <xf numFmtId="1" fontId="6" fillId="2" borderId="0" xfId="1" applyNumberFormat="1" applyFont="1" applyFill="1" applyBorder="1"/>
    <xf numFmtId="9" fontId="0" fillId="2" borderId="0" xfId="1" applyFont="1" applyFill="1" applyBorder="1"/>
    <xf numFmtId="0" fontId="9" fillId="0" borderId="0" xfId="0" applyFont="1"/>
    <xf numFmtId="9" fontId="2" fillId="6" borderId="17" xfId="1" applyFont="1" applyFill="1" applyBorder="1" applyAlignment="1">
      <alignment horizontal="right"/>
    </xf>
    <xf numFmtId="9" fontId="2" fillId="7" borderId="17" xfId="1" applyFont="1" applyFill="1" applyBorder="1" applyAlignment="1">
      <alignment horizontal="right"/>
    </xf>
    <xf numFmtId="0" fontId="4" fillId="0" borderId="51" xfId="2" applyFont="1" applyBorder="1" applyAlignment="1">
      <alignment wrapText="1"/>
    </xf>
    <xf numFmtId="0" fontId="2" fillId="0" borderId="12" xfId="2" applyBorder="1"/>
    <xf numFmtId="0" fontId="2" fillId="0" borderId="12" xfId="5" applyBorder="1"/>
    <xf numFmtId="1" fontId="2" fillId="0" borderId="12" xfId="2" applyNumberFormat="1" applyBorder="1"/>
    <xf numFmtId="3" fontId="3" fillId="0" borderId="12" xfId="1" applyNumberFormat="1" applyFont="1" applyBorder="1" applyAlignment="1">
      <alignment horizontal="right"/>
    </xf>
    <xf numFmtId="1" fontId="6" fillId="0" borderId="6" xfId="1" applyNumberFormat="1" applyFont="1" applyBorder="1"/>
    <xf numFmtId="9" fontId="0" fillId="0" borderId="52" xfId="1" applyFont="1" applyBorder="1"/>
    <xf numFmtId="0" fontId="23" fillId="14" borderId="1" xfId="5" applyFont="1" applyFill="1" applyBorder="1"/>
    <xf numFmtId="0" fontId="8" fillId="6" borderId="0" xfId="0" applyFont="1" applyFill="1"/>
    <xf numFmtId="0" fontId="8" fillId="7" borderId="0" xfId="0" applyFont="1" applyFill="1"/>
    <xf numFmtId="0" fontId="2" fillId="2" borderId="0" xfId="5" applyFont="1" applyFill="1" applyBorder="1" applyAlignment="1">
      <alignment vertical="center"/>
    </xf>
    <xf numFmtId="0" fontId="2" fillId="2" borderId="1" xfId="5" applyFont="1" applyFill="1" applyBorder="1"/>
    <xf numFmtId="0" fontId="30" fillId="17" borderId="41" xfId="0" applyFont="1" applyFill="1" applyBorder="1" applyAlignment="1">
      <alignment horizontal="center" vertical="center"/>
    </xf>
    <xf numFmtId="0" fontId="30" fillId="17" borderId="22" xfId="0" applyFont="1" applyFill="1" applyBorder="1" applyAlignment="1">
      <alignment horizontal="center" vertical="center"/>
    </xf>
    <xf numFmtId="0" fontId="30" fillId="17" borderId="42" xfId="0" applyFont="1" applyFill="1" applyBorder="1" applyAlignment="1">
      <alignment horizontal="center" vertical="center"/>
    </xf>
    <xf numFmtId="0" fontId="30" fillId="16" borderId="41" xfId="0" applyFont="1" applyFill="1" applyBorder="1" applyAlignment="1">
      <alignment horizontal="center" vertical="center"/>
    </xf>
    <xf numFmtId="0" fontId="30" fillId="16" borderId="22" xfId="0" applyFont="1" applyFill="1" applyBorder="1" applyAlignment="1">
      <alignment horizontal="center" vertical="center"/>
    </xf>
    <xf numFmtId="0" fontId="30" fillId="16" borderId="42" xfId="0" applyFont="1" applyFill="1" applyBorder="1" applyAlignment="1">
      <alignment horizontal="center" vertical="center"/>
    </xf>
  </cellXfs>
  <cellStyles count="10">
    <cellStyle name="Normal" xfId="0" builtinId="0"/>
    <cellStyle name="Normal 2" xfId="5"/>
    <cellStyle name="Normal 2 2" xfId="9"/>
    <cellStyle name="Normal 3" xfId="2"/>
    <cellStyle name="Normal 4" xfId="6"/>
    <cellStyle name="Procent" xfId="1" builtinId="5"/>
    <cellStyle name="Procent 2" xfId="3"/>
    <cellStyle name="Procent 3" xfId="7"/>
    <cellStyle name="Tusental 2" xfId="4"/>
    <cellStyle name="Tusental 3" xfId="8"/>
  </cellStyles>
  <dxfs count="0"/>
  <tableStyles count="0" defaultTableStyle="TableStyleMedium2" defaultPivotStyle="PivotStyleLight16"/>
  <colors>
    <mruColors>
      <color rgb="FFB51B8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28575</xdr:colOff>
      <xdr:row>24</xdr:row>
      <xdr:rowOff>9523</xdr:rowOff>
    </xdr:from>
    <xdr:to>
      <xdr:col>9</xdr:col>
      <xdr:colOff>19050</xdr:colOff>
      <xdr:row>46</xdr:row>
      <xdr:rowOff>161924</xdr:rowOff>
    </xdr:to>
    <xdr:sp macro="" textlink="">
      <xdr:nvSpPr>
        <xdr:cNvPr id="4" name="textruta 3"/>
        <xdr:cNvSpPr txBox="1"/>
      </xdr:nvSpPr>
      <xdr:spPr>
        <a:xfrm>
          <a:off x="28575" y="5410198"/>
          <a:ext cx="11001375" cy="4572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600" b="1">
              <a:latin typeface="Arial" panose="020B0604020202020204" pitchFamily="34" charset="0"/>
              <a:cs typeface="Arial" panose="020B0604020202020204" pitchFamily="34" charset="0"/>
            </a:rPr>
            <a:t>Mål</a:t>
          </a:r>
          <a:r>
            <a:rPr lang="sv-SE" sz="1600" b="1" baseline="0">
              <a:latin typeface="Arial" panose="020B0604020202020204" pitchFamily="34" charset="0"/>
              <a:cs typeface="Arial" panose="020B0604020202020204" pitchFamily="34" charset="0"/>
            </a:rPr>
            <a:t> 2016 och resultat efter kvartal 1 2016</a:t>
          </a:r>
        </a:p>
        <a:p>
          <a:endParaRPr lang="sv-SE" sz="1100" b="0" i="0" u="none" strike="noStrike" baseline="0" smtClean="0">
            <a:solidFill>
              <a:schemeClr val="dk1"/>
            </a:solidFill>
            <a:latin typeface="Arial" panose="020B0604020202020204" pitchFamily="34" charset="0"/>
            <a:ea typeface="+mn-ea"/>
            <a:cs typeface="Arial" panose="020B0604020202020204" pitchFamily="34" charset="0"/>
          </a:endParaRPr>
        </a:p>
        <a:p>
          <a:r>
            <a:rPr lang="sv-SE" sz="1100" b="1" i="0" u="none" strike="noStrike" baseline="0" smtClean="0">
              <a:solidFill>
                <a:schemeClr val="dk1"/>
              </a:solidFill>
              <a:latin typeface="Arial" panose="020B0604020202020204" pitchFamily="34" charset="0"/>
              <a:ea typeface="+mn-ea"/>
              <a:cs typeface="Arial" panose="020B0604020202020204" pitchFamily="34" charset="0"/>
            </a:rPr>
            <a:t>Mål: </a:t>
          </a:r>
          <a:r>
            <a:rPr lang="sv-SE" sz="1100" b="0" i="0" u="none" strike="noStrike" baseline="0" smtClean="0">
              <a:solidFill>
                <a:schemeClr val="dk1"/>
              </a:solidFill>
              <a:latin typeface="Arial" panose="020B0604020202020204" pitchFamily="34" charset="0"/>
              <a:ea typeface="+mn-ea"/>
              <a:cs typeface="Arial" panose="020B0604020202020204" pitchFamily="34" charset="0"/>
            </a:rPr>
            <a:t>Antalet </a:t>
          </a:r>
          <a:r>
            <a:rPr lang="sv-SE" sz="1100" b="1" i="0" u="none" strike="noStrike" baseline="0" smtClean="0">
              <a:solidFill>
                <a:schemeClr val="dk1"/>
              </a:solidFill>
              <a:latin typeface="Arial" panose="020B0604020202020204" pitchFamily="34" charset="0"/>
              <a:ea typeface="+mn-ea"/>
              <a:cs typeface="Arial" panose="020B0604020202020204" pitchFamily="34" charset="0"/>
            </a:rPr>
            <a:t>Förnya recept </a:t>
          </a:r>
          <a:r>
            <a:rPr lang="sv-SE" sz="1100" b="0" i="0" u="none" strike="noStrike" baseline="0" smtClean="0">
              <a:solidFill>
                <a:schemeClr val="dk1"/>
              </a:solidFill>
              <a:latin typeface="Arial" panose="020B0604020202020204" pitchFamily="34" charset="0"/>
              <a:ea typeface="+mn-ea"/>
              <a:cs typeface="Arial" panose="020B0604020202020204" pitchFamily="34" charset="0"/>
            </a:rPr>
            <a:t>som kommer in via 1177 Vårdguidens e-tjänster ska öka med minst 50 procent på varje mottagning, istället för att de hanteras via telefon. Det är samma mål som 2015. I uppföljningen jämförs resultatet med 2014. (Resultat efter 2015 var +37 procent). </a:t>
          </a:r>
          <a:br>
            <a:rPr lang="sv-SE" sz="1100" b="0" i="0" u="none" strike="noStrike" baseline="0" smtClean="0">
              <a:solidFill>
                <a:schemeClr val="dk1"/>
              </a:solidFill>
              <a:latin typeface="Arial" panose="020B0604020202020204" pitchFamily="34" charset="0"/>
              <a:ea typeface="+mn-ea"/>
              <a:cs typeface="Arial" panose="020B0604020202020204" pitchFamily="34" charset="0"/>
            </a:rPr>
          </a:br>
          <a:endParaRPr lang="sv-SE" sz="1100" b="0" i="0" u="none" strike="noStrike" baseline="0" smtClean="0">
            <a:solidFill>
              <a:schemeClr val="dk1"/>
            </a:solidFill>
            <a:latin typeface="Arial" panose="020B0604020202020204" pitchFamily="34" charset="0"/>
            <a:ea typeface="+mn-ea"/>
            <a:cs typeface="Arial" panose="020B0604020202020204" pitchFamily="34" charset="0"/>
          </a:endParaRPr>
        </a:p>
        <a:p>
          <a:r>
            <a:rPr lang="sv-SE" sz="1100" b="1" i="0" u="none" strike="noStrike" baseline="0" smtClean="0">
              <a:solidFill>
                <a:schemeClr val="dk1"/>
              </a:solidFill>
              <a:latin typeface="Arial" panose="020B0604020202020204" pitchFamily="34" charset="0"/>
              <a:ea typeface="+mn-ea"/>
              <a:cs typeface="Arial" panose="020B0604020202020204" pitchFamily="34" charset="0"/>
            </a:rPr>
            <a:t>Resultat: </a:t>
          </a:r>
          <a:r>
            <a:rPr lang="sv-SE" sz="1100" b="0" i="0" u="none" strike="noStrike" baseline="0" smtClean="0">
              <a:solidFill>
                <a:schemeClr val="dk1"/>
              </a:solidFill>
              <a:latin typeface="Arial" panose="020B0604020202020204" pitchFamily="34" charset="0"/>
              <a:ea typeface="+mn-ea"/>
              <a:cs typeface="Arial" panose="020B0604020202020204" pitchFamily="34" charset="0"/>
            </a:rPr>
            <a:t>En ökning på </a:t>
          </a:r>
          <a:r>
            <a:rPr lang="sv-SE" sz="1100" b="1" i="0" u="none" strike="noStrike" baseline="0" smtClean="0">
              <a:solidFill>
                <a:schemeClr val="dk1"/>
              </a:solidFill>
              <a:latin typeface="Arial" panose="020B0604020202020204" pitchFamily="34" charset="0"/>
              <a:ea typeface="+mn-ea"/>
              <a:cs typeface="Arial" panose="020B0604020202020204" pitchFamily="34" charset="0"/>
            </a:rPr>
            <a:t>90 procent </a:t>
          </a:r>
          <a:r>
            <a:rPr lang="sv-SE" sz="1100" b="0" i="0" u="none" strike="noStrike" baseline="0" smtClean="0">
              <a:solidFill>
                <a:schemeClr val="dk1"/>
              </a:solidFill>
              <a:latin typeface="Arial" panose="020B0604020202020204" pitchFamily="34" charset="0"/>
              <a:ea typeface="+mn-ea"/>
              <a:cs typeface="Arial" panose="020B0604020202020204" pitchFamily="34" charset="0"/>
            </a:rPr>
            <a:t>av antalet Förnya recept som har kommit in via 1177 Vårdguidens e-tjänster under kvartal 1 2016 jämfört med kvartal 1 2014. Om denna takt hålls kommer målet var uppnått med stor marginal under 2016. Ökningen mellan 2015 och 2016 är på 37 procent.</a:t>
          </a:r>
          <a:br>
            <a:rPr lang="sv-SE" sz="1100" b="0" i="0" u="none" strike="noStrike" baseline="0" smtClean="0">
              <a:solidFill>
                <a:schemeClr val="dk1"/>
              </a:solidFill>
              <a:latin typeface="Arial" panose="020B0604020202020204" pitchFamily="34" charset="0"/>
              <a:ea typeface="+mn-ea"/>
              <a:cs typeface="Arial" panose="020B0604020202020204" pitchFamily="34" charset="0"/>
            </a:rPr>
          </a:br>
          <a:endParaRPr lang="sv-SE" sz="1100" b="0" i="0" u="none" strike="noStrike" baseline="0" smtClean="0">
            <a:solidFill>
              <a:schemeClr val="dk1"/>
            </a:solidFill>
            <a:latin typeface="Arial" panose="020B0604020202020204" pitchFamily="34" charset="0"/>
            <a:ea typeface="+mn-ea"/>
            <a:cs typeface="Arial" panose="020B0604020202020204" pitchFamily="34" charset="0"/>
          </a:endParaRPr>
        </a:p>
        <a:p>
          <a:r>
            <a:rPr lang="sv-SE" sz="1100" b="1" i="0" u="none" strike="noStrike" baseline="0" smtClean="0">
              <a:solidFill>
                <a:schemeClr val="dk1"/>
              </a:solidFill>
              <a:latin typeface="Arial" panose="020B0604020202020204" pitchFamily="34" charset="0"/>
              <a:ea typeface="+mn-ea"/>
              <a:cs typeface="Arial" panose="020B0604020202020204" pitchFamily="34" charset="0"/>
            </a:rPr>
            <a:t>Mål: </a:t>
          </a:r>
          <a:r>
            <a:rPr lang="sv-SE" sz="1100" b="0" i="0" u="none" strike="noStrike" baseline="0" smtClean="0">
              <a:solidFill>
                <a:schemeClr val="dk1"/>
              </a:solidFill>
              <a:latin typeface="Arial" panose="020B0604020202020204" pitchFamily="34" charset="0"/>
              <a:ea typeface="+mn-ea"/>
              <a:cs typeface="Arial" panose="020B0604020202020204" pitchFamily="34" charset="0"/>
            </a:rPr>
            <a:t>Mottagningarna behöver aktivt se till att </a:t>
          </a:r>
          <a:r>
            <a:rPr lang="sv-SE" sz="1100" b="1" i="0" u="none" strike="noStrike" baseline="0" smtClean="0">
              <a:solidFill>
                <a:schemeClr val="dk1"/>
              </a:solidFill>
              <a:latin typeface="Arial" panose="020B0604020202020204" pitchFamily="34" charset="0"/>
              <a:ea typeface="+mn-ea"/>
              <a:cs typeface="Arial" panose="020B0604020202020204" pitchFamily="34" charset="0"/>
            </a:rPr>
            <a:t>samtliga patienter </a:t>
          </a:r>
          <a:r>
            <a:rPr lang="sv-SE" sz="1100" b="0" i="0" u="none" strike="noStrike" baseline="0" smtClean="0">
              <a:solidFill>
                <a:schemeClr val="dk1"/>
              </a:solidFill>
              <a:latin typeface="Arial" panose="020B0604020202020204" pitchFamily="34" charset="0"/>
              <a:ea typeface="+mn-ea"/>
              <a:cs typeface="Arial" panose="020B0604020202020204" pitchFamily="34" charset="0"/>
            </a:rPr>
            <a:t>från början vet om att mottagningen kan kontaktas via 1177 Vårdguidens e-tjänster. Fortfarande är det många som inte blir informerade av vårdpersonalen om att denna möjlighet finns. En patient ska alltid veta att de kan skicka sin fråga, meddelande, ärende eller synpunkt genom att logga in på www.1177.se och inte behöva anpassa sig till telefontider eller öppettider. Antalet ärenden in till varje mottagning ska </a:t>
          </a:r>
          <a:r>
            <a:rPr lang="sv-SE" sz="1100" b="1" i="0" u="none" strike="noStrike" baseline="0" smtClean="0">
              <a:solidFill>
                <a:schemeClr val="dk1"/>
              </a:solidFill>
              <a:latin typeface="Arial" panose="020B0604020202020204" pitchFamily="34" charset="0"/>
              <a:ea typeface="+mn-ea"/>
              <a:cs typeface="Arial" panose="020B0604020202020204" pitchFamily="34" charset="0"/>
            </a:rPr>
            <a:t>under 2016 öka med 20 procent </a:t>
          </a:r>
          <a:r>
            <a:rPr lang="sv-SE" sz="1100" b="0" i="0" u="none" strike="noStrike" baseline="0" smtClean="0">
              <a:solidFill>
                <a:schemeClr val="dk1"/>
              </a:solidFill>
              <a:latin typeface="Arial" panose="020B0604020202020204" pitchFamily="34" charset="0"/>
              <a:ea typeface="+mn-ea"/>
              <a:cs typeface="Arial" panose="020B0604020202020204" pitchFamily="34" charset="0"/>
            </a:rPr>
            <a:t>jämfört med förgående år. Ett mål satt utifrån att om alla patienter informeras kommer också fler att använda möjligheten till kontakt via 1177 Vårdguidens e-tjänster och därigenom antalet ärenden in öka. </a:t>
          </a:r>
          <a:br>
            <a:rPr lang="sv-SE" sz="1100" b="0" i="0" u="none" strike="noStrike" baseline="0" smtClean="0">
              <a:solidFill>
                <a:schemeClr val="dk1"/>
              </a:solidFill>
              <a:latin typeface="Arial" panose="020B0604020202020204" pitchFamily="34" charset="0"/>
              <a:ea typeface="+mn-ea"/>
              <a:cs typeface="Arial" panose="020B0604020202020204" pitchFamily="34" charset="0"/>
            </a:rPr>
          </a:br>
          <a:endParaRPr lang="sv-SE" sz="1100" b="0" i="0" u="none" strike="noStrike" baseline="0" smtClean="0">
            <a:solidFill>
              <a:schemeClr val="dk1"/>
            </a:solidFill>
            <a:latin typeface="Arial" panose="020B0604020202020204" pitchFamily="34" charset="0"/>
            <a:ea typeface="+mn-ea"/>
            <a:cs typeface="Arial" panose="020B0604020202020204" pitchFamily="34" charset="0"/>
          </a:endParaRPr>
        </a:p>
        <a:p>
          <a:r>
            <a:rPr lang="sv-SE" sz="1100" b="1" i="0" u="none" strike="noStrike" baseline="0" smtClean="0">
              <a:solidFill>
                <a:schemeClr val="dk1"/>
              </a:solidFill>
              <a:latin typeface="Arial" panose="020B0604020202020204" pitchFamily="34" charset="0"/>
              <a:ea typeface="+mn-ea"/>
              <a:cs typeface="Arial" panose="020B0604020202020204" pitchFamily="34" charset="0"/>
            </a:rPr>
            <a:t>Resultat: </a:t>
          </a:r>
          <a:r>
            <a:rPr lang="sv-SE" sz="1100" b="0" i="0" u="none" strike="noStrike" baseline="0" smtClean="0">
              <a:solidFill>
                <a:schemeClr val="dk1"/>
              </a:solidFill>
              <a:latin typeface="Arial" panose="020B0604020202020204" pitchFamily="34" charset="0"/>
              <a:ea typeface="+mn-ea"/>
              <a:cs typeface="Arial" panose="020B0604020202020204" pitchFamily="34" charset="0"/>
            </a:rPr>
            <a:t>Efter kvartal 1 har mottagningarna sammanlagt ökat antal ärenden in med </a:t>
          </a:r>
          <a:r>
            <a:rPr lang="sv-SE" sz="1100" b="1" i="0" u="none" strike="noStrike" baseline="0" smtClean="0">
              <a:solidFill>
                <a:schemeClr val="dk1"/>
              </a:solidFill>
              <a:latin typeface="Arial" panose="020B0604020202020204" pitchFamily="34" charset="0"/>
              <a:ea typeface="+mn-ea"/>
              <a:cs typeface="Arial" panose="020B0604020202020204" pitchFamily="34" charset="0"/>
            </a:rPr>
            <a:t>50 procent. </a:t>
          </a:r>
          <a:r>
            <a:rPr lang="sv-SE" sz="1100" b="0" i="0" u="none" strike="noStrike" baseline="0" smtClean="0">
              <a:solidFill>
                <a:schemeClr val="dk1"/>
              </a:solidFill>
              <a:latin typeface="Arial" panose="020B0604020202020204" pitchFamily="34" charset="0"/>
              <a:ea typeface="+mn-ea"/>
              <a:cs typeface="Arial" panose="020B0604020202020204" pitchFamily="34" charset="0"/>
            </a:rPr>
            <a:t>Målet kommer att uppnås med stor mariginal om denna takt hålls under hela året 2016. Se resultat i detalj på fliken Antal ärenden in.</a:t>
          </a:r>
          <a:br>
            <a:rPr lang="sv-SE" sz="1100" b="0" i="0" u="none" strike="noStrike" baseline="0" smtClean="0">
              <a:solidFill>
                <a:schemeClr val="dk1"/>
              </a:solidFill>
              <a:latin typeface="Arial" panose="020B0604020202020204" pitchFamily="34" charset="0"/>
              <a:ea typeface="+mn-ea"/>
              <a:cs typeface="Arial" panose="020B0604020202020204" pitchFamily="34" charset="0"/>
            </a:rPr>
          </a:br>
          <a:endParaRPr lang="sv-SE" sz="1100" b="0" i="0" u="none" strike="noStrike" baseline="0" smtClean="0">
            <a:solidFill>
              <a:schemeClr val="dk1"/>
            </a:solidFill>
            <a:latin typeface="Arial" panose="020B0604020202020204" pitchFamily="34" charset="0"/>
            <a:ea typeface="+mn-ea"/>
            <a:cs typeface="Arial" panose="020B0604020202020204" pitchFamily="34" charset="0"/>
          </a:endParaRPr>
        </a:p>
        <a:p>
          <a:r>
            <a:rPr lang="sv-SE" sz="1100" b="1" i="0" u="none" strike="noStrike" baseline="0" smtClean="0">
              <a:solidFill>
                <a:schemeClr val="dk1"/>
              </a:solidFill>
              <a:latin typeface="Arial" panose="020B0604020202020204" pitchFamily="34" charset="0"/>
              <a:ea typeface="+mn-ea"/>
              <a:cs typeface="Arial" panose="020B0604020202020204" pitchFamily="34" charset="0"/>
            </a:rPr>
            <a:t>Mål: </a:t>
          </a:r>
          <a:r>
            <a:rPr lang="sv-SE" sz="1100" b="0" i="0" u="none" strike="noStrike" baseline="0" smtClean="0">
              <a:solidFill>
                <a:schemeClr val="dk1"/>
              </a:solidFill>
              <a:latin typeface="Arial" panose="020B0604020202020204" pitchFamily="34" charset="0"/>
              <a:ea typeface="+mn-ea"/>
              <a:cs typeface="Arial" panose="020B0604020202020204" pitchFamily="34" charset="0"/>
            </a:rPr>
            <a:t>Antalet </a:t>
          </a:r>
          <a:r>
            <a:rPr lang="sv-SE" sz="1100" b="1" i="0" u="none" strike="noStrike" baseline="0" smtClean="0">
              <a:solidFill>
                <a:schemeClr val="dk1"/>
              </a:solidFill>
              <a:latin typeface="Arial" panose="020B0604020202020204" pitchFamily="34" charset="0"/>
              <a:ea typeface="+mn-ea"/>
              <a:cs typeface="Arial" panose="020B0604020202020204" pitchFamily="34" charset="0"/>
            </a:rPr>
            <a:t>val av vårdcentral </a:t>
          </a:r>
          <a:r>
            <a:rPr lang="sv-SE" sz="1100" b="0" i="0" u="none" strike="noStrike" baseline="0" smtClean="0">
              <a:solidFill>
                <a:schemeClr val="dk1"/>
              </a:solidFill>
              <a:latin typeface="Arial" panose="020B0604020202020204" pitchFamily="34" charset="0"/>
              <a:ea typeface="+mn-ea"/>
              <a:cs typeface="Arial" panose="020B0604020202020204" pitchFamily="34" charset="0"/>
            </a:rPr>
            <a:t>som görs via 1177 Vårdguidens e-tjänster ska öka så att </a:t>
          </a:r>
          <a:r>
            <a:rPr lang="sv-SE" sz="1100" b="1" i="0" u="none" strike="noStrike" baseline="0" smtClean="0">
              <a:solidFill>
                <a:schemeClr val="dk1"/>
              </a:solidFill>
              <a:latin typeface="Arial" panose="020B0604020202020204" pitchFamily="34" charset="0"/>
              <a:ea typeface="+mn-ea"/>
              <a:cs typeface="Arial" panose="020B0604020202020204" pitchFamily="34" charset="0"/>
            </a:rPr>
            <a:t>minst 50 procent </a:t>
          </a:r>
          <a:r>
            <a:rPr lang="sv-SE" sz="1100" b="0" i="0" u="none" strike="noStrike" baseline="0" smtClean="0">
              <a:solidFill>
                <a:schemeClr val="dk1"/>
              </a:solidFill>
              <a:latin typeface="Arial" panose="020B0604020202020204" pitchFamily="34" charset="0"/>
              <a:ea typeface="+mn-ea"/>
              <a:cs typeface="Arial" panose="020B0604020202020204" pitchFamily="34" charset="0"/>
            </a:rPr>
            <a:t>av de vårdval som genomförs aktivt sker digitalt 2016. Användningen av vårdvalsblanketter ska minimeras och endast användas i undantagsfall. Samma mål som 2015. (Resultat efter 2015 var 25 procent). </a:t>
          </a:r>
        </a:p>
        <a:p>
          <a:endParaRPr lang="sv-SE" sz="1100" b="0" i="0" u="none" strike="noStrike" baseline="0" smtClean="0">
            <a:solidFill>
              <a:schemeClr val="dk1"/>
            </a:solidFill>
            <a:latin typeface="Arial" panose="020B0604020202020204" pitchFamily="34" charset="0"/>
            <a:ea typeface="+mn-ea"/>
            <a:cs typeface="Arial" panose="020B0604020202020204" pitchFamily="34" charset="0"/>
          </a:endParaRPr>
        </a:p>
        <a:p>
          <a:r>
            <a:rPr lang="sv-SE" sz="1100" b="1" i="0" u="none" strike="noStrike" baseline="0" smtClean="0">
              <a:solidFill>
                <a:schemeClr val="dk1"/>
              </a:solidFill>
              <a:latin typeface="Arial" panose="020B0604020202020204" pitchFamily="34" charset="0"/>
              <a:ea typeface="+mn-ea"/>
              <a:cs typeface="Arial" panose="020B0604020202020204" pitchFamily="34" charset="0"/>
            </a:rPr>
            <a:t>Resultat:  </a:t>
          </a:r>
          <a:r>
            <a:rPr lang="sv-SE" sz="1100" b="0" i="0" u="none" strike="noStrike" baseline="0" smtClean="0">
              <a:solidFill>
                <a:schemeClr val="dk1"/>
              </a:solidFill>
              <a:latin typeface="Arial" panose="020B0604020202020204" pitchFamily="34" charset="0"/>
              <a:ea typeface="+mn-ea"/>
              <a:cs typeface="Arial" panose="020B0604020202020204" pitchFamily="34" charset="0"/>
            </a:rPr>
            <a:t>Antalet </a:t>
          </a:r>
          <a:r>
            <a:rPr lang="sv-SE" sz="1100" b="0" i="0" baseline="0">
              <a:solidFill>
                <a:schemeClr val="dk1"/>
              </a:solidFill>
              <a:effectLst/>
              <a:latin typeface="Arial" panose="020B0604020202020204" pitchFamily="34" charset="0"/>
              <a:ea typeface="+mn-ea"/>
              <a:cs typeface="Arial" panose="020B0604020202020204" pitchFamily="34" charset="0"/>
            </a:rPr>
            <a:t>digitala (elektroniska) </a:t>
          </a:r>
          <a:r>
            <a:rPr lang="sv-SE" sz="1100" b="0" i="0" u="none" strike="noStrike" baseline="0" smtClean="0">
              <a:solidFill>
                <a:schemeClr val="dk1"/>
              </a:solidFill>
              <a:latin typeface="Arial" panose="020B0604020202020204" pitchFamily="34" charset="0"/>
              <a:ea typeface="+mn-ea"/>
              <a:cs typeface="Arial" panose="020B0604020202020204" pitchFamily="34" charset="0"/>
            </a:rPr>
            <a:t>vårdval har ökat kvartal 1 2016 och är nu </a:t>
          </a:r>
          <a:r>
            <a:rPr lang="sv-SE" sz="1100" b="1" i="0" u="none" strike="noStrike" baseline="0" smtClean="0">
              <a:solidFill>
                <a:schemeClr val="dk1"/>
              </a:solidFill>
              <a:latin typeface="Arial" panose="020B0604020202020204" pitchFamily="34" charset="0"/>
              <a:ea typeface="+mn-ea"/>
              <a:cs typeface="Arial" panose="020B0604020202020204" pitchFamily="34" charset="0"/>
            </a:rPr>
            <a:t>36 procent </a:t>
          </a:r>
          <a:r>
            <a:rPr lang="sv-SE" sz="1100" b="0" i="0" u="none" strike="noStrike" baseline="0" smtClean="0">
              <a:solidFill>
                <a:schemeClr val="dk1"/>
              </a:solidFill>
              <a:latin typeface="Arial" panose="020B0604020202020204" pitchFamily="34" charset="0"/>
              <a:ea typeface="+mn-ea"/>
              <a:cs typeface="Arial" panose="020B0604020202020204" pitchFamily="34" charset="0"/>
            </a:rPr>
            <a:t>av de </a:t>
          </a:r>
          <a:r>
            <a:rPr lang="sv-SE" sz="1100" b="0" i="0" u="sng" strike="noStrike" baseline="0" smtClean="0">
              <a:solidFill>
                <a:schemeClr val="dk1"/>
              </a:solidFill>
              <a:latin typeface="Arial" panose="020B0604020202020204" pitchFamily="34" charset="0"/>
              <a:ea typeface="+mn-ea"/>
              <a:cs typeface="Arial" panose="020B0604020202020204" pitchFamily="34" charset="0"/>
            </a:rPr>
            <a:t>aktiva</a:t>
          </a:r>
          <a:r>
            <a:rPr lang="sv-SE" sz="1100" b="0" i="0" u="none" strike="noStrike" baseline="0" smtClean="0">
              <a:solidFill>
                <a:schemeClr val="dk1"/>
              </a:solidFill>
              <a:latin typeface="Arial" panose="020B0604020202020204" pitchFamily="34" charset="0"/>
              <a:ea typeface="+mn-ea"/>
              <a:cs typeface="Arial" panose="020B0604020202020204" pitchFamily="34" charset="0"/>
            </a:rPr>
            <a:t> valen gjorda av invånare. Det innebär dock att fortfarande sker 64 procent via papper. Det är inte enligt Region Hallands intentioner och ger avsevärt längre ledtider och kräver mycket mer resurser än digitala val. Positivt är att det är en ökning (+11% jämfört med årsskiftet 2015) och framför allt att några fler vårdcentraler kommer att nå målet 2016 om deras resultat håller i sig. Det krävs dock avsevärda insatser för att målet som helhet ska nås 2016 för samtliga vårdcentraler. Målet är dessutom inte slutmål utan intentionen är att få bort blanketthanteringen så gott som helt. Se alla vårdcentralers resultat på fliken " Vårdval per mottagning".</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10</xdr:col>
      <xdr:colOff>47626</xdr:colOff>
      <xdr:row>7</xdr:row>
      <xdr:rowOff>38098</xdr:rowOff>
    </xdr:from>
    <xdr:ext cx="3467100" cy="1771651"/>
    <xdr:sp macro="" textlink="">
      <xdr:nvSpPr>
        <xdr:cNvPr id="2" name="textruta 1"/>
        <xdr:cNvSpPr txBox="1"/>
      </xdr:nvSpPr>
      <xdr:spPr>
        <a:xfrm>
          <a:off x="14354176" y="1600198"/>
          <a:ext cx="3467100" cy="1771651"/>
        </a:xfrm>
        <a:prstGeom prst="rect">
          <a:avLst/>
        </a:prstGeom>
        <a:solidFill>
          <a:schemeClr val="tx2">
            <a:lumMod val="20000"/>
            <a:lumOff val="80000"/>
          </a:schemeClr>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sv-SE" sz="1100"/>
            <a:t>* Målet är att 50 procent av alla</a:t>
          </a:r>
          <a:r>
            <a:rPr lang="sv-SE" sz="1100" b="1" baseline="0"/>
            <a:t> </a:t>
          </a:r>
          <a:r>
            <a:rPr lang="sv-SE" sz="1100" baseline="0"/>
            <a:t>vårdval ska ske digitalt via 1177 Vårdguidens e-tjänster. Blanketter ska undvikas. </a:t>
          </a:r>
          <a:br>
            <a:rPr lang="sv-SE" sz="1100" baseline="0"/>
          </a:br>
          <a:r>
            <a:rPr lang="sv-SE" sz="1100" baseline="0"/>
            <a:t>Systemtilldelade, dvs de som inte valt aktivt efter tre månader och därför tilldelas den vårdcentral där de bor, exkluderas vid beräkning av resultatet eftersom detta inte är aktiva val. Målsättningen bör dock vara att antalet systemtilldelade minskar väsentligt till förmån för aktiva digitala vårdval.</a:t>
          </a:r>
          <a:endParaRPr lang="sv-SE" sz="1100"/>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43"/>
  <sheetViews>
    <sheetView tabSelected="1" topLeftCell="A13" workbookViewId="0">
      <selection activeCell="G22" sqref="G22"/>
    </sheetView>
  </sheetViews>
  <sheetFormatPr defaultRowHeight="15.75" x14ac:dyDescent="0.25"/>
  <cols>
    <col min="1" max="1" width="32" customWidth="1"/>
    <col min="3" max="4" width="11.375" bestFit="1" customWidth="1"/>
    <col min="5" max="5" width="16.125" bestFit="1" customWidth="1"/>
    <col min="6" max="6" width="16.125" style="14" customWidth="1"/>
    <col min="7" max="7" width="31.25" customWidth="1"/>
    <col min="8" max="8" width="8.25" customWidth="1"/>
    <col min="10" max="10" width="11.125" bestFit="1" customWidth="1"/>
    <col min="11" max="11" width="13.875" bestFit="1" customWidth="1"/>
    <col min="12" max="12" width="14" bestFit="1" customWidth="1"/>
    <col min="13" max="13" width="34.75" customWidth="1"/>
    <col min="15" max="16" width="12" bestFit="1" customWidth="1"/>
    <col min="17" max="17" width="17" style="14" customWidth="1"/>
    <col min="18" max="18" width="13.875" bestFit="1" customWidth="1"/>
    <col min="19" max="19" width="9.375" customWidth="1"/>
    <col min="20" max="20" width="9.375" style="14" customWidth="1"/>
    <col min="21" max="21" width="9.75" customWidth="1"/>
  </cols>
  <sheetData>
    <row r="1" spans="1:22" ht="20.25" x14ac:dyDescent="0.3">
      <c r="A1" s="10" t="s">
        <v>552</v>
      </c>
      <c r="F1" s="90"/>
      <c r="M1" s="437" t="s">
        <v>557</v>
      </c>
    </row>
    <row r="2" spans="1:22" ht="16.5" thickBot="1" x14ac:dyDescent="0.3">
      <c r="F2" s="91"/>
    </row>
    <row r="3" spans="1:22" x14ac:dyDescent="0.25">
      <c r="A3" s="279" t="s">
        <v>299</v>
      </c>
      <c r="B3" s="280"/>
      <c r="C3" s="281"/>
      <c r="D3" s="280"/>
      <c r="E3" s="280"/>
      <c r="F3" s="324"/>
      <c r="G3" s="282"/>
      <c r="H3" s="298"/>
      <c r="I3" s="141"/>
      <c r="J3" s="429"/>
      <c r="K3" s="90"/>
      <c r="L3" s="3"/>
      <c r="M3" s="279" t="s">
        <v>298</v>
      </c>
      <c r="N3" s="304"/>
      <c r="O3" s="305"/>
      <c r="P3" s="304"/>
      <c r="Q3" s="306"/>
      <c r="R3" s="213"/>
      <c r="S3" s="213"/>
      <c r="T3" s="213"/>
      <c r="U3" s="213"/>
      <c r="V3" s="213"/>
    </row>
    <row r="4" spans="1:22" ht="39" x14ac:dyDescent="0.25">
      <c r="A4" s="283"/>
      <c r="B4" s="1"/>
      <c r="C4" s="123" t="s">
        <v>17</v>
      </c>
      <c r="D4" s="124" t="s">
        <v>16</v>
      </c>
      <c r="E4" s="322" t="s">
        <v>293</v>
      </c>
      <c r="F4" s="278" t="s">
        <v>296</v>
      </c>
      <c r="G4" s="323" t="s">
        <v>297</v>
      </c>
      <c r="H4" s="299" t="s">
        <v>294</v>
      </c>
      <c r="I4" s="284" t="s">
        <v>295</v>
      </c>
      <c r="J4" s="429"/>
      <c r="K4" s="90"/>
      <c r="L4" s="3"/>
      <c r="M4" s="307"/>
      <c r="N4" s="12"/>
      <c r="O4" s="121">
        <v>2014</v>
      </c>
      <c r="P4" s="122">
        <v>2015</v>
      </c>
      <c r="Q4" s="308" t="s">
        <v>18</v>
      </c>
      <c r="R4" s="433"/>
      <c r="S4" s="433"/>
      <c r="T4" s="433"/>
      <c r="U4" s="433"/>
      <c r="V4" s="213"/>
    </row>
    <row r="5" spans="1:22" x14ac:dyDescent="0.25">
      <c r="A5" s="285" t="s">
        <v>19</v>
      </c>
      <c r="B5" s="1"/>
      <c r="C5" s="7">
        <v>13775</v>
      </c>
      <c r="D5" s="274">
        <v>36673</v>
      </c>
      <c r="E5" s="275">
        <v>53102</v>
      </c>
      <c r="F5" s="325">
        <f>E5-D5</f>
        <v>16429</v>
      </c>
      <c r="G5" s="277">
        <f>F5/D5</f>
        <v>0.44798625691925942</v>
      </c>
      <c r="H5" s="300">
        <f>E5-C5</f>
        <v>39327</v>
      </c>
      <c r="I5" s="301">
        <f>H5/C5</f>
        <v>2.8549546279491831</v>
      </c>
      <c r="J5" s="429"/>
      <c r="K5" s="90"/>
      <c r="L5" s="3"/>
      <c r="M5" s="309" t="s">
        <v>19</v>
      </c>
      <c r="N5" s="12"/>
      <c r="O5" s="13">
        <v>80053</v>
      </c>
      <c r="P5" s="13">
        <v>149035</v>
      </c>
      <c r="Q5" s="310">
        <f>33992/O5</f>
        <v>0.42461869011779696</v>
      </c>
      <c r="R5" s="434"/>
      <c r="S5" s="432"/>
      <c r="T5" s="435"/>
      <c r="U5" s="436"/>
      <c r="V5" s="213"/>
    </row>
    <row r="6" spans="1:22" x14ac:dyDescent="0.25">
      <c r="A6" s="286" t="s">
        <v>0</v>
      </c>
      <c r="B6" s="2" t="s">
        <v>1</v>
      </c>
      <c r="C6" s="5">
        <v>3416</v>
      </c>
      <c r="D6" s="276">
        <v>5473</v>
      </c>
      <c r="E6" s="287">
        <v>8429</v>
      </c>
      <c r="F6" s="273">
        <f t="shared" ref="F6:F23" si="0">E6-D6</f>
        <v>2956</v>
      </c>
      <c r="G6" s="8">
        <f t="shared" ref="G6:G23" si="1">F6/D6</f>
        <v>0.54010597478530975</v>
      </c>
      <c r="H6" s="300">
        <f t="shared" ref="H6:H23" si="2">E6-C6</f>
        <v>5013</v>
      </c>
      <c r="I6" s="301">
        <f t="shared" ref="I6:I23" si="3">H6/C6</f>
        <v>1.4675058548009368</v>
      </c>
      <c r="J6" s="429"/>
      <c r="K6" s="90"/>
      <c r="L6" s="3"/>
      <c r="M6" s="311" t="s">
        <v>0</v>
      </c>
      <c r="N6" s="15" t="s">
        <v>1</v>
      </c>
      <c r="O6" s="11">
        <v>14405</v>
      </c>
      <c r="P6" s="92">
        <v>23145</v>
      </c>
      <c r="Q6" s="310">
        <f>(P6-O6)/O6</f>
        <v>0.6067337729954877</v>
      </c>
      <c r="R6" s="434"/>
      <c r="S6" s="432"/>
      <c r="T6" s="435"/>
      <c r="U6" s="436"/>
      <c r="V6" s="213"/>
    </row>
    <row r="7" spans="1:22" x14ac:dyDescent="0.25">
      <c r="A7" s="288" t="s">
        <v>2</v>
      </c>
      <c r="B7" s="2" t="s">
        <v>3</v>
      </c>
      <c r="C7" s="5">
        <v>4499</v>
      </c>
      <c r="D7" s="276">
        <v>6210</v>
      </c>
      <c r="E7" s="326">
        <v>8535</v>
      </c>
      <c r="F7" s="273">
        <f t="shared" si="0"/>
        <v>2325</v>
      </c>
      <c r="G7" s="8">
        <f t="shared" si="1"/>
        <v>0.37439613526570048</v>
      </c>
      <c r="H7" s="300">
        <f t="shared" si="2"/>
        <v>4036</v>
      </c>
      <c r="I7" s="327">
        <f t="shared" si="3"/>
        <v>0.89708824183151814</v>
      </c>
      <c r="J7" s="429"/>
      <c r="K7" s="90"/>
      <c r="L7" s="3"/>
      <c r="M7" s="312" t="s">
        <v>2</v>
      </c>
      <c r="N7" s="15" t="s">
        <v>3</v>
      </c>
      <c r="O7" s="11">
        <v>19618</v>
      </c>
      <c r="P7" s="92">
        <v>26886</v>
      </c>
      <c r="Q7" s="438">
        <f t="shared" ref="Q7:Q25" si="4">(P7-O7)/O7</f>
        <v>0.3704760933836273</v>
      </c>
      <c r="R7" s="434"/>
      <c r="S7" s="432"/>
      <c r="T7" s="435"/>
      <c r="U7" s="436"/>
      <c r="V7" s="213"/>
    </row>
    <row r="8" spans="1:22" x14ac:dyDescent="0.25">
      <c r="A8" s="289" t="s">
        <v>4</v>
      </c>
      <c r="B8" s="2" t="s">
        <v>3</v>
      </c>
      <c r="C8" s="5">
        <v>2522</v>
      </c>
      <c r="D8" s="276">
        <v>4261</v>
      </c>
      <c r="E8" s="276">
        <v>6098</v>
      </c>
      <c r="F8" s="273">
        <f t="shared" si="0"/>
        <v>1837</v>
      </c>
      <c r="G8" s="8">
        <f t="shared" si="1"/>
        <v>0.43111945552687164</v>
      </c>
      <c r="H8" s="300">
        <f t="shared" si="2"/>
        <v>3576</v>
      </c>
      <c r="I8" s="301">
        <f t="shared" si="3"/>
        <v>1.4179222839016654</v>
      </c>
      <c r="J8" s="429"/>
      <c r="K8" s="90"/>
      <c r="L8" s="3"/>
      <c r="M8" s="313" t="s">
        <v>4</v>
      </c>
      <c r="N8" s="15" t="s">
        <v>3</v>
      </c>
      <c r="O8" s="11">
        <v>11541</v>
      </c>
      <c r="P8" s="92">
        <v>18259</v>
      </c>
      <c r="Q8" s="310">
        <f t="shared" si="4"/>
        <v>0.58209860497357246</v>
      </c>
      <c r="R8" s="434"/>
      <c r="S8" s="432"/>
      <c r="T8" s="435"/>
      <c r="U8" s="436"/>
      <c r="V8" s="213"/>
    </row>
    <row r="9" spans="1:22" x14ac:dyDescent="0.25">
      <c r="A9" s="289" t="s">
        <v>5</v>
      </c>
      <c r="B9" s="2" t="s">
        <v>3</v>
      </c>
      <c r="C9" s="5">
        <v>185</v>
      </c>
      <c r="D9" s="276">
        <v>226</v>
      </c>
      <c r="E9" s="276">
        <v>513</v>
      </c>
      <c r="F9" s="273">
        <f t="shared" si="0"/>
        <v>287</v>
      </c>
      <c r="G9" s="8">
        <f t="shared" si="1"/>
        <v>1.2699115044247788</v>
      </c>
      <c r="H9" s="300">
        <f t="shared" si="2"/>
        <v>328</v>
      </c>
      <c r="I9" s="301">
        <f t="shared" si="3"/>
        <v>1.7729729729729731</v>
      </c>
      <c r="J9" s="429"/>
      <c r="K9" s="90"/>
      <c r="L9" s="3"/>
      <c r="M9" s="313" t="s">
        <v>5</v>
      </c>
      <c r="N9" s="15" t="s">
        <v>3</v>
      </c>
      <c r="O9" s="11">
        <v>733</v>
      </c>
      <c r="P9" s="92">
        <v>1399</v>
      </c>
      <c r="Q9" s="310">
        <f t="shared" si="4"/>
        <v>0.90859481582537516</v>
      </c>
      <c r="R9" s="434"/>
      <c r="S9" s="432"/>
      <c r="T9" s="435"/>
      <c r="U9" s="436"/>
      <c r="V9" s="213"/>
    </row>
    <row r="10" spans="1:22" x14ac:dyDescent="0.25">
      <c r="A10" s="289" t="s">
        <v>20</v>
      </c>
      <c r="B10" s="2" t="s">
        <v>3</v>
      </c>
      <c r="C10" s="5">
        <v>1313</v>
      </c>
      <c r="D10" s="276">
        <v>1863</v>
      </c>
      <c r="E10" s="276">
        <v>2706</v>
      </c>
      <c r="F10" s="273">
        <f t="shared" si="0"/>
        <v>843</v>
      </c>
      <c r="G10" s="8">
        <f t="shared" si="1"/>
        <v>0.45249597423510468</v>
      </c>
      <c r="H10" s="300">
        <f t="shared" si="2"/>
        <v>1393</v>
      </c>
      <c r="I10" s="301">
        <f t="shared" si="3"/>
        <v>1.0609291698400609</v>
      </c>
      <c r="J10" s="429"/>
      <c r="K10" s="90"/>
      <c r="L10" s="3"/>
      <c r="M10" s="312" t="s">
        <v>20</v>
      </c>
      <c r="N10" s="15" t="s">
        <v>3</v>
      </c>
      <c r="O10" s="11">
        <v>5452</v>
      </c>
      <c r="P10" s="92">
        <f>7621+1187</f>
        <v>8808</v>
      </c>
      <c r="Q10" s="439">
        <f t="shared" si="4"/>
        <v>0.61555392516507701</v>
      </c>
      <c r="R10" s="434"/>
      <c r="S10" s="432"/>
      <c r="T10" s="435"/>
      <c r="U10" s="436"/>
      <c r="V10" s="213"/>
    </row>
    <row r="11" spans="1:22" x14ac:dyDescent="0.25">
      <c r="A11" s="289" t="s">
        <v>6</v>
      </c>
      <c r="B11" s="2" t="s">
        <v>3</v>
      </c>
      <c r="C11" s="5">
        <v>618</v>
      </c>
      <c r="D11" s="276">
        <v>1192</v>
      </c>
      <c r="E11" s="276">
        <v>1593</v>
      </c>
      <c r="F11" s="273">
        <f t="shared" si="0"/>
        <v>401</v>
      </c>
      <c r="G11" s="8">
        <f t="shared" si="1"/>
        <v>0.33640939597315433</v>
      </c>
      <c r="H11" s="300">
        <f t="shared" si="2"/>
        <v>975</v>
      </c>
      <c r="I11" s="301">
        <f t="shared" si="3"/>
        <v>1.5776699029126213</v>
      </c>
      <c r="J11" s="429"/>
      <c r="K11" s="90"/>
      <c r="L11" s="3"/>
      <c r="M11" s="313" t="s">
        <v>6</v>
      </c>
      <c r="N11" s="15" t="s">
        <v>3</v>
      </c>
      <c r="O11" s="11">
        <v>2652</v>
      </c>
      <c r="P11" s="92">
        <v>4139</v>
      </c>
      <c r="Q11" s="310">
        <f t="shared" si="4"/>
        <v>0.56070889894419307</v>
      </c>
      <c r="R11" s="434"/>
      <c r="S11" s="432"/>
      <c r="T11" s="435"/>
      <c r="U11" s="436"/>
      <c r="V11" s="213"/>
    </row>
    <row r="12" spans="1:22" x14ac:dyDescent="0.25">
      <c r="A12" s="288" t="s">
        <v>22</v>
      </c>
      <c r="B12" s="1"/>
      <c r="C12" s="5">
        <v>740</v>
      </c>
      <c r="D12" s="276">
        <v>1349</v>
      </c>
      <c r="E12" s="276">
        <v>2934</v>
      </c>
      <c r="F12" s="273">
        <f t="shared" si="0"/>
        <v>1585</v>
      </c>
      <c r="G12" s="8">
        <f t="shared" si="1"/>
        <v>1.1749444032616754</v>
      </c>
      <c r="H12" s="300">
        <f t="shared" si="2"/>
        <v>2194</v>
      </c>
      <c r="I12" s="301">
        <f t="shared" si="3"/>
        <v>2.964864864864865</v>
      </c>
      <c r="J12" s="429"/>
      <c r="K12" s="90"/>
      <c r="L12" s="3"/>
      <c r="M12" s="312" t="s">
        <v>22</v>
      </c>
      <c r="N12" s="12"/>
      <c r="O12" s="11">
        <v>2788</v>
      </c>
      <c r="P12" s="93">
        <v>7222</v>
      </c>
      <c r="Q12" s="438">
        <f t="shared" si="4"/>
        <v>1.5903873744619799</v>
      </c>
      <c r="R12" s="434"/>
      <c r="S12" s="432"/>
      <c r="T12" s="435"/>
      <c r="U12" s="436"/>
      <c r="V12" s="213"/>
    </row>
    <row r="13" spans="1:22" x14ac:dyDescent="0.25">
      <c r="A13" s="289" t="s">
        <v>7</v>
      </c>
      <c r="B13" s="2" t="s">
        <v>3</v>
      </c>
      <c r="C13" s="5">
        <v>11</v>
      </c>
      <c r="D13" s="276">
        <v>31</v>
      </c>
      <c r="E13" s="276">
        <v>43</v>
      </c>
      <c r="F13" s="273">
        <f t="shared" si="0"/>
        <v>12</v>
      </c>
      <c r="G13" s="8">
        <f t="shared" si="1"/>
        <v>0.38709677419354838</v>
      </c>
      <c r="H13" s="300">
        <f t="shared" si="2"/>
        <v>32</v>
      </c>
      <c r="I13" s="301">
        <f t="shared" si="3"/>
        <v>2.9090909090909092</v>
      </c>
      <c r="J13" s="429"/>
      <c r="K13" s="90"/>
      <c r="M13" s="312" t="s">
        <v>7</v>
      </c>
      <c r="N13" s="15" t="s">
        <v>3</v>
      </c>
      <c r="O13" s="11">
        <v>85</v>
      </c>
      <c r="P13" s="92">
        <v>165</v>
      </c>
      <c r="Q13" s="439">
        <f t="shared" si="4"/>
        <v>0.94117647058823528</v>
      </c>
      <c r="R13" s="434"/>
      <c r="S13" s="432"/>
      <c r="T13" s="435"/>
      <c r="U13" s="436"/>
      <c r="V13" s="213"/>
    </row>
    <row r="14" spans="1:22" x14ac:dyDescent="0.25">
      <c r="A14" s="286" t="s">
        <v>8</v>
      </c>
      <c r="B14" s="2" t="s">
        <v>3</v>
      </c>
      <c r="C14" s="5">
        <v>65</v>
      </c>
      <c r="D14" s="276">
        <v>279</v>
      </c>
      <c r="E14" s="276">
        <v>696</v>
      </c>
      <c r="F14" s="273">
        <f t="shared" si="0"/>
        <v>417</v>
      </c>
      <c r="G14" s="8">
        <f t="shared" si="1"/>
        <v>1.4946236559139785</v>
      </c>
      <c r="H14" s="300">
        <f t="shared" si="2"/>
        <v>631</v>
      </c>
      <c r="I14" s="301">
        <f t="shared" si="3"/>
        <v>9.707692307692307</v>
      </c>
      <c r="J14" s="429"/>
      <c r="K14" s="90"/>
      <c r="M14" s="311" t="s">
        <v>8</v>
      </c>
      <c r="N14" s="15" t="s">
        <v>3</v>
      </c>
      <c r="O14" s="11">
        <v>488</v>
      </c>
      <c r="P14" s="320">
        <v>1661</v>
      </c>
      <c r="Q14" s="310">
        <f t="shared" si="4"/>
        <v>2.403688524590164</v>
      </c>
      <c r="R14" s="434"/>
      <c r="S14" s="432"/>
      <c r="T14" s="435"/>
      <c r="U14" s="436"/>
      <c r="V14" s="213"/>
    </row>
    <row r="15" spans="1:22" x14ac:dyDescent="0.25">
      <c r="A15" s="286" t="s">
        <v>9</v>
      </c>
      <c r="B15" s="2" t="s">
        <v>3</v>
      </c>
      <c r="C15" s="5">
        <v>5</v>
      </c>
      <c r="D15" s="276">
        <v>38</v>
      </c>
      <c r="E15" s="276">
        <v>83</v>
      </c>
      <c r="F15" s="273">
        <f t="shared" si="0"/>
        <v>45</v>
      </c>
      <c r="G15" s="8">
        <f t="shared" si="1"/>
        <v>1.1842105263157894</v>
      </c>
      <c r="H15" s="300">
        <f t="shared" si="2"/>
        <v>78</v>
      </c>
      <c r="I15" s="301">
        <f t="shared" si="3"/>
        <v>15.6</v>
      </c>
      <c r="J15" s="429"/>
      <c r="K15" s="90"/>
      <c r="M15" s="311" t="s">
        <v>9</v>
      </c>
      <c r="N15" s="15" t="s">
        <v>3</v>
      </c>
      <c r="O15" s="11">
        <v>41</v>
      </c>
      <c r="P15" s="93">
        <v>195</v>
      </c>
      <c r="Q15" s="310">
        <f t="shared" si="4"/>
        <v>3.7560975609756095</v>
      </c>
      <c r="R15" s="434"/>
      <c r="S15" s="432"/>
      <c r="T15" s="435"/>
      <c r="U15" s="436"/>
      <c r="V15" s="213"/>
    </row>
    <row r="16" spans="1:22" x14ac:dyDescent="0.25">
      <c r="A16" s="286" t="s">
        <v>249</v>
      </c>
      <c r="B16" s="2" t="s">
        <v>3</v>
      </c>
      <c r="C16" s="5">
        <v>109</v>
      </c>
      <c r="D16" s="276">
        <v>143</v>
      </c>
      <c r="E16" s="276">
        <v>198</v>
      </c>
      <c r="F16" s="273">
        <f t="shared" si="0"/>
        <v>55</v>
      </c>
      <c r="G16" s="8">
        <f t="shared" si="1"/>
        <v>0.38461538461538464</v>
      </c>
      <c r="H16" s="300">
        <f t="shared" si="2"/>
        <v>89</v>
      </c>
      <c r="I16" s="301">
        <f t="shared" si="3"/>
        <v>0.8165137614678899</v>
      </c>
      <c r="J16" s="429"/>
      <c r="K16" s="90"/>
      <c r="M16" s="311" t="s">
        <v>249</v>
      </c>
      <c r="N16" s="15" t="s">
        <v>3</v>
      </c>
      <c r="O16" s="11">
        <v>458</v>
      </c>
      <c r="P16" s="92">
        <v>675</v>
      </c>
      <c r="Q16" s="310">
        <f t="shared" si="4"/>
        <v>0.47379912663755458</v>
      </c>
      <c r="R16" s="434"/>
      <c r="S16" s="432"/>
      <c r="T16" s="435"/>
      <c r="U16" s="436"/>
      <c r="V16" s="213"/>
    </row>
    <row r="17" spans="1:22" x14ac:dyDescent="0.25">
      <c r="A17" s="286" t="s">
        <v>10</v>
      </c>
      <c r="B17" s="2" t="s">
        <v>3</v>
      </c>
      <c r="C17" s="5">
        <v>98</v>
      </c>
      <c r="D17" s="276">
        <v>187</v>
      </c>
      <c r="E17" s="276">
        <v>308</v>
      </c>
      <c r="F17" s="273">
        <f t="shared" si="0"/>
        <v>121</v>
      </c>
      <c r="G17" s="8">
        <f t="shared" si="1"/>
        <v>0.6470588235294118</v>
      </c>
      <c r="H17" s="300">
        <f t="shared" si="2"/>
        <v>210</v>
      </c>
      <c r="I17" s="301">
        <f t="shared" si="3"/>
        <v>2.1428571428571428</v>
      </c>
      <c r="J17" s="429"/>
      <c r="K17" s="90"/>
      <c r="M17" s="311" t="s">
        <v>10</v>
      </c>
      <c r="N17" s="15" t="s">
        <v>3</v>
      </c>
      <c r="O17" s="11">
        <v>437</v>
      </c>
      <c r="P17" s="92">
        <v>919</v>
      </c>
      <c r="Q17" s="310">
        <f t="shared" si="4"/>
        <v>1.102974828375286</v>
      </c>
      <c r="R17" s="434"/>
      <c r="S17" s="432"/>
      <c r="T17" s="435"/>
      <c r="U17" s="436"/>
      <c r="V17" s="213"/>
    </row>
    <row r="18" spans="1:22" x14ac:dyDescent="0.25">
      <c r="A18" s="286" t="s">
        <v>11</v>
      </c>
      <c r="B18" s="2" t="s">
        <v>3</v>
      </c>
      <c r="C18" s="5">
        <v>238</v>
      </c>
      <c r="D18" s="276">
        <v>282</v>
      </c>
      <c r="E18" s="276">
        <v>332</v>
      </c>
      <c r="F18" s="273">
        <f t="shared" si="0"/>
        <v>50</v>
      </c>
      <c r="G18" s="8">
        <f t="shared" si="1"/>
        <v>0.1773049645390071</v>
      </c>
      <c r="H18" s="300">
        <f t="shared" si="2"/>
        <v>94</v>
      </c>
      <c r="I18" s="301">
        <f t="shared" si="3"/>
        <v>0.3949579831932773</v>
      </c>
      <c r="J18" s="429"/>
      <c r="K18" s="90"/>
      <c r="M18" s="311" t="s">
        <v>11</v>
      </c>
      <c r="N18" s="15" t="s">
        <v>3</v>
      </c>
      <c r="O18" s="11">
        <v>871</v>
      </c>
      <c r="P18" s="93">
        <v>1144</v>
      </c>
      <c r="Q18" s="310">
        <f t="shared" si="4"/>
        <v>0.31343283582089554</v>
      </c>
      <c r="R18" s="434"/>
      <c r="S18" s="432"/>
      <c r="T18" s="435"/>
      <c r="U18" s="436"/>
      <c r="V18" s="213"/>
    </row>
    <row r="19" spans="1:22" x14ac:dyDescent="0.25">
      <c r="A19" s="286" t="s">
        <v>12</v>
      </c>
      <c r="B19" s="2" t="s">
        <v>3</v>
      </c>
      <c r="C19" s="5">
        <v>31</v>
      </c>
      <c r="D19" s="276">
        <v>38</v>
      </c>
      <c r="E19" s="276">
        <v>61</v>
      </c>
      <c r="F19" s="273">
        <f t="shared" si="0"/>
        <v>23</v>
      </c>
      <c r="G19" s="8">
        <f t="shared" si="1"/>
        <v>0.60526315789473684</v>
      </c>
      <c r="H19" s="300">
        <f t="shared" si="2"/>
        <v>30</v>
      </c>
      <c r="I19" s="301">
        <f t="shared" si="3"/>
        <v>0.967741935483871</v>
      </c>
      <c r="J19" s="429"/>
      <c r="K19" s="90"/>
      <c r="M19" s="311" t="s">
        <v>12</v>
      </c>
      <c r="N19" s="15" t="s">
        <v>3</v>
      </c>
      <c r="O19" s="11">
        <v>151</v>
      </c>
      <c r="P19" s="93">
        <v>239</v>
      </c>
      <c r="Q19" s="310">
        <f t="shared" si="4"/>
        <v>0.58278145695364236</v>
      </c>
      <c r="R19" s="434"/>
      <c r="S19" s="432"/>
      <c r="T19" s="435"/>
      <c r="U19" s="436"/>
      <c r="V19" s="213"/>
    </row>
    <row r="20" spans="1:22" ht="19.149999999999999" customHeight="1" x14ac:dyDescent="0.25">
      <c r="A20" s="290" t="s">
        <v>13</v>
      </c>
      <c r="B20" s="2" t="s">
        <v>3</v>
      </c>
      <c r="C20" s="5">
        <v>3</v>
      </c>
      <c r="D20" s="276">
        <v>13</v>
      </c>
      <c r="E20" s="276">
        <v>18</v>
      </c>
      <c r="F20" s="273">
        <f t="shared" si="0"/>
        <v>5</v>
      </c>
      <c r="G20" s="8">
        <f t="shared" si="1"/>
        <v>0.38461538461538464</v>
      </c>
      <c r="H20" s="300">
        <f t="shared" si="2"/>
        <v>15</v>
      </c>
      <c r="I20" s="301">
        <f t="shared" si="3"/>
        <v>5</v>
      </c>
      <c r="J20" s="429"/>
      <c r="K20" s="90"/>
      <c r="M20" s="291" t="s">
        <v>13</v>
      </c>
      <c r="N20" s="15" t="s">
        <v>3</v>
      </c>
      <c r="O20" s="11">
        <v>27</v>
      </c>
      <c r="P20" s="93">
        <v>71</v>
      </c>
      <c r="Q20" s="310">
        <f t="shared" si="4"/>
        <v>1.6296296296296295</v>
      </c>
      <c r="R20" s="434"/>
      <c r="S20" s="432"/>
      <c r="T20" s="435"/>
      <c r="U20" s="436"/>
      <c r="V20" s="213"/>
    </row>
    <row r="21" spans="1:22" ht="29.25" x14ac:dyDescent="0.25">
      <c r="A21" s="290" t="s">
        <v>250</v>
      </c>
      <c r="B21" s="1"/>
      <c r="C21" s="5">
        <v>1406</v>
      </c>
      <c r="D21" s="276">
        <v>5540</v>
      </c>
      <c r="E21" s="276">
        <f>368+3026+6389+2952+4758</f>
        <v>17493</v>
      </c>
      <c r="F21" s="273">
        <f t="shared" si="0"/>
        <v>11953</v>
      </c>
      <c r="G21" s="8">
        <f t="shared" si="1"/>
        <v>2.1575812274368231</v>
      </c>
      <c r="H21" s="300">
        <f t="shared" si="2"/>
        <v>16087</v>
      </c>
      <c r="I21" s="301">
        <f t="shared" si="3"/>
        <v>11.441678520625889</v>
      </c>
      <c r="J21" s="429"/>
      <c r="K21" s="90"/>
      <c r="M21" s="291" t="s">
        <v>21</v>
      </c>
      <c r="N21" s="12"/>
      <c r="O21" s="11">
        <v>15993</v>
      </c>
      <c r="P21" s="12">
        <f>18661+76+57</f>
        <v>18794</v>
      </c>
      <c r="Q21" s="310">
        <f t="shared" si="4"/>
        <v>0.17513912336647283</v>
      </c>
      <c r="R21" s="434"/>
      <c r="S21" s="432"/>
      <c r="T21" s="435"/>
      <c r="U21" s="436"/>
      <c r="V21" s="213"/>
    </row>
    <row r="22" spans="1:22" s="14" customFormat="1" x14ac:dyDescent="0.25">
      <c r="A22" s="440" t="s">
        <v>15</v>
      </c>
      <c r="B22" s="441"/>
      <c r="C22" s="442">
        <v>743</v>
      </c>
      <c r="D22" s="443">
        <v>1028</v>
      </c>
      <c r="E22" s="443">
        <v>1021</v>
      </c>
      <c r="F22" s="444">
        <v>-7</v>
      </c>
      <c r="G22" s="8">
        <f t="shared" si="1"/>
        <v>-6.8093385214007783E-3</v>
      </c>
      <c r="H22" s="445"/>
      <c r="I22" s="446"/>
      <c r="J22" s="429"/>
      <c r="K22" s="90"/>
      <c r="M22" s="291"/>
      <c r="N22" s="12"/>
      <c r="O22" s="11"/>
      <c r="P22" s="12"/>
      <c r="Q22" s="310"/>
      <c r="R22" s="434"/>
      <c r="S22" s="432"/>
      <c r="T22" s="435"/>
      <c r="U22" s="436"/>
      <c r="V22" s="213"/>
    </row>
    <row r="23" spans="1:22" ht="16.5" thickBot="1" x14ac:dyDescent="0.3">
      <c r="A23" s="292" t="s">
        <v>14</v>
      </c>
      <c r="B23" s="293"/>
      <c r="C23" s="294">
        <v>26</v>
      </c>
      <c r="D23" s="295">
        <v>32</v>
      </c>
      <c r="E23" s="295">
        <v>23</v>
      </c>
      <c r="F23" s="296">
        <f t="shared" si="0"/>
        <v>-9</v>
      </c>
      <c r="G23" s="297">
        <f t="shared" si="1"/>
        <v>-0.28125</v>
      </c>
      <c r="H23" s="302">
        <f t="shared" si="2"/>
        <v>-3</v>
      </c>
      <c r="I23" s="303">
        <f t="shared" si="3"/>
        <v>-0.11538461538461539</v>
      </c>
      <c r="J23" s="429"/>
      <c r="K23" s="90"/>
      <c r="M23" s="291" t="s">
        <v>23</v>
      </c>
      <c r="N23" s="12"/>
      <c r="O23" s="11">
        <f>10603+8687</f>
        <v>19290</v>
      </c>
      <c r="P23" s="12">
        <f>26539+136+88</f>
        <v>26763</v>
      </c>
      <c r="Q23" s="310">
        <f t="shared" si="4"/>
        <v>0.387402799377916</v>
      </c>
      <c r="R23" s="434"/>
      <c r="S23" s="432"/>
      <c r="T23" s="435"/>
      <c r="U23" s="436"/>
      <c r="V23" s="213"/>
    </row>
    <row r="24" spans="1:22" ht="17.25" customHeight="1" x14ac:dyDescent="0.25">
      <c r="A24" s="14"/>
      <c r="B24" s="14"/>
      <c r="C24" s="14"/>
      <c r="D24" s="14"/>
      <c r="E24" s="14"/>
      <c r="G24" s="14"/>
      <c r="H24" s="14"/>
      <c r="I24" s="14"/>
      <c r="J24" s="429"/>
      <c r="K24" s="90"/>
      <c r="M24" s="311" t="s">
        <v>15</v>
      </c>
      <c r="N24" s="1"/>
      <c r="O24" s="6">
        <v>3248</v>
      </c>
      <c r="P24" s="1">
        <v>4838</v>
      </c>
      <c r="Q24" s="315">
        <f t="shared" si="4"/>
        <v>0.4895320197044335</v>
      </c>
    </row>
    <row r="25" spans="1:22" ht="16.5" customHeight="1" x14ac:dyDescent="0.25">
      <c r="A25" s="14"/>
      <c r="B25" s="14"/>
      <c r="C25" s="14"/>
      <c r="D25" s="14"/>
      <c r="E25" s="14"/>
      <c r="G25" s="14"/>
      <c r="H25" s="14"/>
      <c r="I25" s="14"/>
      <c r="J25" s="429"/>
      <c r="K25" s="90"/>
      <c r="M25" s="321" t="s">
        <v>14</v>
      </c>
      <c r="N25" s="4"/>
      <c r="O25" s="94">
        <v>103</v>
      </c>
      <c r="P25" s="94">
        <v>76</v>
      </c>
      <c r="Q25" s="315">
        <f t="shared" si="4"/>
        <v>-0.26213592233009708</v>
      </c>
    </row>
    <row r="26" spans="1:22" x14ac:dyDescent="0.25">
      <c r="A26" s="14"/>
      <c r="B26" s="14"/>
      <c r="C26" s="14"/>
      <c r="D26" s="14"/>
      <c r="E26" s="14"/>
      <c r="G26" s="14"/>
      <c r="H26" s="14"/>
      <c r="I26" s="14"/>
      <c r="J26" s="429"/>
      <c r="K26" s="90"/>
      <c r="M26" s="291"/>
      <c r="N26" s="12"/>
      <c r="O26" s="11"/>
      <c r="P26" s="12"/>
      <c r="Q26" s="310"/>
    </row>
    <row r="27" spans="1:22" s="14" customFormat="1" ht="16.5" thickBot="1" x14ac:dyDescent="0.3">
      <c r="M27" s="316"/>
      <c r="N27" s="317"/>
      <c r="O27" s="318"/>
      <c r="P27" s="317"/>
      <c r="Q27" s="319"/>
    </row>
    <row r="28" spans="1:22" x14ac:dyDescent="0.25">
      <c r="A28" s="14"/>
      <c r="B28" s="14"/>
      <c r="C28" s="14"/>
      <c r="D28" s="14"/>
      <c r="E28" s="14"/>
      <c r="G28" s="14"/>
      <c r="H28" s="14"/>
      <c r="I28" s="14"/>
    </row>
    <row r="29" spans="1:22" x14ac:dyDescent="0.25">
      <c r="A29" s="14"/>
      <c r="B29" s="14"/>
      <c r="C29" s="14"/>
      <c r="D29" s="14"/>
      <c r="E29" s="14"/>
      <c r="G29" s="14"/>
      <c r="H29" s="14"/>
      <c r="I29" s="14"/>
      <c r="J29" s="9"/>
      <c r="K29" s="9"/>
      <c r="L29" s="9"/>
      <c r="M29" s="448" t="s">
        <v>561</v>
      </c>
      <c r="N29" s="14"/>
      <c r="O29" s="14"/>
      <c r="P29" s="14"/>
    </row>
    <row r="30" spans="1:22" x14ac:dyDescent="0.25">
      <c r="A30" s="9"/>
      <c r="B30" s="9"/>
      <c r="C30" s="9"/>
      <c r="D30" s="9"/>
      <c r="E30" s="9"/>
      <c r="F30" s="9"/>
      <c r="G30" s="9"/>
      <c r="H30" s="9"/>
      <c r="I30" s="14"/>
      <c r="J30" s="9"/>
      <c r="K30" s="9"/>
      <c r="L30" s="9"/>
      <c r="M30" s="449" t="s">
        <v>562</v>
      </c>
      <c r="N30" s="9"/>
      <c r="O30" s="9"/>
      <c r="P30" s="9"/>
      <c r="Q30" s="9"/>
      <c r="R30" s="9"/>
      <c r="S30" s="9"/>
      <c r="T30" s="9"/>
    </row>
    <row r="31" spans="1:22" x14ac:dyDescent="0.25">
      <c r="A31" s="9"/>
      <c r="B31" s="9"/>
      <c r="C31" s="9"/>
      <c r="D31" s="9"/>
      <c r="E31" s="9"/>
      <c r="F31" s="9"/>
      <c r="G31" s="9"/>
      <c r="H31" s="9"/>
      <c r="I31" s="14"/>
      <c r="J31" s="9"/>
      <c r="K31" s="9"/>
      <c r="L31" s="9"/>
      <c r="M31" s="9"/>
      <c r="N31" s="9"/>
      <c r="O31" s="9"/>
      <c r="P31" s="9"/>
      <c r="Q31" s="9"/>
      <c r="R31" s="9"/>
      <c r="S31" s="9"/>
      <c r="T31" s="9"/>
    </row>
    <row r="32" spans="1:22" x14ac:dyDescent="0.25">
      <c r="A32" s="9"/>
      <c r="B32" s="9"/>
      <c r="C32" s="9"/>
      <c r="D32" s="9"/>
      <c r="E32" s="9"/>
      <c r="F32" s="9"/>
      <c r="G32" s="9"/>
      <c r="H32" s="9"/>
      <c r="I32" s="14"/>
      <c r="J32" s="9"/>
      <c r="K32" s="9"/>
      <c r="L32" s="9"/>
      <c r="M32" s="9"/>
      <c r="N32" s="9"/>
      <c r="O32" s="9"/>
      <c r="P32" s="9"/>
      <c r="Q32" s="9"/>
      <c r="R32" s="9"/>
      <c r="S32" s="9"/>
      <c r="T32" s="9"/>
    </row>
    <row r="33" spans="1:20" x14ac:dyDescent="0.25">
      <c r="A33" s="9"/>
      <c r="B33" s="9"/>
      <c r="C33" s="9"/>
      <c r="D33" s="9"/>
      <c r="E33" s="9"/>
      <c r="F33" s="9"/>
      <c r="G33" s="9"/>
      <c r="H33" s="9"/>
      <c r="I33" s="14"/>
      <c r="J33" s="9"/>
      <c r="K33" s="9"/>
      <c r="L33" s="9"/>
      <c r="M33" s="9"/>
      <c r="N33" s="9"/>
      <c r="O33" s="9"/>
      <c r="P33" s="9"/>
      <c r="Q33" s="9"/>
      <c r="R33" s="9"/>
      <c r="S33" s="9"/>
      <c r="T33" s="9"/>
    </row>
    <row r="34" spans="1:20" x14ac:dyDescent="0.25">
      <c r="A34" s="9"/>
      <c r="B34" s="9"/>
      <c r="C34" s="9"/>
      <c r="D34" s="9"/>
      <c r="E34" s="9"/>
      <c r="F34" s="9"/>
      <c r="G34" s="9"/>
      <c r="H34" s="9"/>
      <c r="I34" s="14"/>
      <c r="J34" s="9"/>
      <c r="K34" s="9"/>
      <c r="L34" s="9"/>
      <c r="M34" s="9"/>
      <c r="N34" s="9"/>
      <c r="O34" s="9"/>
      <c r="P34" s="9"/>
      <c r="Q34" s="9"/>
      <c r="R34" s="9"/>
      <c r="S34" s="9"/>
      <c r="T34" s="9"/>
    </row>
    <row r="35" spans="1:20" x14ac:dyDescent="0.25">
      <c r="A35" s="9"/>
      <c r="B35" s="9"/>
      <c r="C35" s="9"/>
      <c r="D35" s="9"/>
      <c r="E35" s="9"/>
      <c r="F35" s="9"/>
      <c r="G35" s="9"/>
      <c r="H35" s="9"/>
      <c r="I35" s="14"/>
      <c r="J35" s="9"/>
      <c r="K35" s="9"/>
      <c r="L35" s="9"/>
      <c r="M35" s="9"/>
      <c r="N35" s="9"/>
      <c r="O35" s="9"/>
      <c r="P35" s="9"/>
      <c r="Q35" s="9"/>
      <c r="R35" s="9"/>
      <c r="S35" s="9"/>
      <c r="T35" s="9"/>
    </row>
    <row r="36" spans="1:20" x14ac:dyDescent="0.25">
      <c r="A36" s="9"/>
      <c r="B36" s="9"/>
      <c r="C36" s="9"/>
      <c r="D36" s="9"/>
      <c r="E36" s="9"/>
      <c r="F36" s="9"/>
      <c r="G36" s="9"/>
      <c r="H36" s="9"/>
      <c r="I36" s="14"/>
      <c r="J36" s="9"/>
      <c r="K36" s="9"/>
      <c r="L36" s="9"/>
      <c r="M36" s="9"/>
      <c r="N36" s="9"/>
      <c r="O36" s="9"/>
      <c r="P36" s="9"/>
      <c r="Q36" s="9"/>
      <c r="R36" s="9"/>
      <c r="S36" s="9"/>
      <c r="T36" s="9"/>
    </row>
    <row r="37" spans="1:20" x14ac:dyDescent="0.25">
      <c r="A37" s="9"/>
      <c r="B37" s="9"/>
      <c r="C37" s="9"/>
      <c r="D37" s="9"/>
      <c r="E37" s="9"/>
      <c r="F37" s="9"/>
      <c r="G37" s="9"/>
      <c r="H37" s="9"/>
      <c r="I37" s="14"/>
      <c r="J37" s="9"/>
      <c r="K37" s="9"/>
      <c r="L37" s="9"/>
      <c r="M37" s="9"/>
      <c r="N37" s="9"/>
      <c r="O37" s="9"/>
      <c r="P37" s="9"/>
      <c r="Q37" s="9"/>
      <c r="R37" s="9"/>
      <c r="S37" s="9"/>
      <c r="T37" s="9"/>
    </row>
    <row r="38" spans="1:20" x14ac:dyDescent="0.25">
      <c r="A38" s="9"/>
      <c r="B38" s="9"/>
      <c r="C38" s="9"/>
      <c r="D38" s="9"/>
      <c r="E38" s="9"/>
      <c r="F38" s="9"/>
      <c r="G38" s="9"/>
      <c r="H38" s="9"/>
      <c r="I38" s="14"/>
      <c r="M38" s="9"/>
      <c r="N38" s="9"/>
      <c r="O38" s="9"/>
      <c r="P38" s="9"/>
      <c r="Q38" s="9"/>
      <c r="R38" s="9"/>
      <c r="S38" s="9"/>
      <c r="T38" s="9"/>
    </row>
    <row r="39" spans="1:20" x14ac:dyDescent="0.25">
      <c r="A39" s="14"/>
      <c r="B39" s="14"/>
      <c r="C39" s="14"/>
      <c r="D39" s="14"/>
      <c r="E39" s="14"/>
      <c r="G39" s="14"/>
      <c r="H39" s="14"/>
      <c r="I39" s="14"/>
    </row>
    <row r="40" spans="1:20" x14ac:dyDescent="0.25">
      <c r="A40" s="14"/>
      <c r="B40" s="14"/>
      <c r="C40" s="14"/>
      <c r="D40" s="14"/>
      <c r="E40" s="14"/>
      <c r="G40" s="14"/>
      <c r="H40" s="14"/>
      <c r="I40" s="14"/>
    </row>
    <row r="41" spans="1:20" x14ac:dyDescent="0.25">
      <c r="A41" s="14"/>
      <c r="B41" s="14"/>
      <c r="C41" s="14"/>
      <c r="D41" s="14"/>
      <c r="E41" s="14"/>
      <c r="G41" s="14"/>
      <c r="H41" s="14"/>
      <c r="I41" s="14"/>
    </row>
    <row r="42" spans="1:20" x14ac:dyDescent="0.25">
      <c r="A42" s="14"/>
      <c r="B42" s="14"/>
      <c r="C42" s="14"/>
      <c r="D42" s="14"/>
      <c r="E42" s="14"/>
      <c r="G42" s="14"/>
      <c r="H42" s="14"/>
      <c r="I42" s="14"/>
    </row>
    <row r="43" spans="1:20" x14ac:dyDescent="0.25">
      <c r="A43" s="14"/>
      <c r="B43" s="14"/>
      <c r="C43" s="14"/>
      <c r="D43" s="14"/>
      <c r="E43" s="14"/>
      <c r="G43" s="14"/>
      <c r="H43" s="14"/>
      <c r="I43" s="14"/>
    </row>
  </sheetData>
  <pageMargins left="0.7" right="0.7" top="0.75" bottom="0.75" header="0.3" footer="0.3"/>
  <pageSetup paperSize="9" scale="46"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58"/>
  <sheetViews>
    <sheetView zoomScale="90" zoomScaleNormal="90" workbookViewId="0">
      <pane ySplit="1" topLeftCell="A32" activePane="bottomLeft" state="frozen"/>
      <selection pane="bottomLeft" activeCell="P5" sqref="P5"/>
    </sheetView>
  </sheetViews>
  <sheetFormatPr defaultRowHeight="15.75" x14ac:dyDescent="0.25"/>
  <cols>
    <col min="1" max="1" width="46.375" customWidth="1"/>
    <col min="2" max="2" width="9.375" style="172" customWidth="1"/>
    <col min="3" max="3" width="7.875" customWidth="1"/>
    <col min="4" max="4" width="12.25" customWidth="1"/>
    <col min="5" max="5" width="7.625" customWidth="1"/>
    <col min="6" max="6" width="8.625" customWidth="1"/>
    <col min="7" max="7" width="8.375" customWidth="1"/>
    <col min="8" max="8" width="7.75" bestFit="1" customWidth="1"/>
    <col min="9" max="9" width="8.25" customWidth="1"/>
    <col min="10" max="10" width="7.75" customWidth="1"/>
    <col min="11" max="11" width="7.25" style="172" bestFit="1" customWidth="1"/>
    <col min="12" max="12" width="7.25" style="14" customWidth="1"/>
    <col min="13" max="14" width="8.875" style="14" customWidth="1"/>
    <col min="15" max="16" width="9.625"/>
    <col min="17" max="17" width="13.875" customWidth="1"/>
    <col min="18" max="18" width="9.625"/>
    <col min="19" max="19" width="7.75" customWidth="1"/>
    <col min="20" max="20" width="9.375" customWidth="1"/>
    <col min="21" max="21" width="11.75" customWidth="1"/>
    <col min="22" max="22" width="8.875" customWidth="1"/>
    <col min="23" max="24" width="9.625"/>
    <col min="25" max="25" width="13.75" customWidth="1"/>
    <col min="26" max="26" width="13.75" style="136" customWidth="1"/>
    <col min="28" max="28" width="10.125" style="14" customWidth="1"/>
    <col min="29" max="29" width="41.25" customWidth="1"/>
  </cols>
  <sheetData>
    <row r="1" spans="1:29" ht="73.150000000000006" customHeight="1" x14ac:dyDescent="0.25">
      <c r="A1" s="154">
        <v>2014</v>
      </c>
      <c r="B1" s="168" t="s">
        <v>283</v>
      </c>
      <c r="C1" s="17" t="s">
        <v>24</v>
      </c>
      <c r="D1" s="17" t="s">
        <v>248</v>
      </c>
      <c r="E1" s="18" t="s">
        <v>7</v>
      </c>
      <c r="F1" s="19" t="s">
        <v>247</v>
      </c>
      <c r="G1" s="17" t="s">
        <v>25</v>
      </c>
      <c r="H1" s="89" t="s">
        <v>26</v>
      </c>
      <c r="I1" s="89" t="s">
        <v>27</v>
      </c>
      <c r="J1" s="183" t="s">
        <v>28</v>
      </c>
      <c r="K1" s="184">
        <v>2015</v>
      </c>
      <c r="L1" s="22"/>
      <c r="M1" s="182" t="s">
        <v>282</v>
      </c>
      <c r="N1" s="153" t="s">
        <v>284</v>
      </c>
      <c r="O1" s="85" t="s">
        <v>24</v>
      </c>
      <c r="P1" s="85" t="s">
        <v>254</v>
      </c>
      <c r="Q1" s="86" t="s">
        <v>248</v>
      </c>
      <c r="R1" s="187" t="s">
        <v>7</v>
      </c>
      <c r="S1" s="87" t="s">
        <v>251</v>
      </c>
      <c r="T1" s="87" t="s">
        <v>278</v>
      </c>
      <c r="U1" s="86" t="s">
        <v>25</v>
      </c>
      <c r="V1" s="87" t="s">
        <v>253</v>
      </c>
      <c r="W1" s="88" t="s">
        <v>27</v>
      </c>
      <c r="X1" s="188" t="s">
        <v>26</v>
      </c>
      <c r="Y1" s="188" t="s">
        <v>279</v>
      </c>
      <c r="Z1" s="259"/>
      <c r="AA1" s="89" t="s">
        <v>291</v>
      </c>
      <c r="AB1" s="21" t="s">
        <v>292</v>
      </c>
    </row>
    <row r="2" spans="1:29" s="14" customFormat="1" ht="73.150000000000006" customHeight="1" thickBot="1" x14ac:dyDescent="0.4">
      <c r="A2" s="245" t="s">
        <v>246</v>
      </c>
      <c r="B2" s="246"/>
      <c r="C2" s="247"/>
      <c r="D2" s="247"/>
      <c r="E2" s="248"/>
      <c r="F2" s="248"/>
      <c r="G2" s="247"/>
      <c r="H2" s="20"/>
      <c r="I2" s="21"/>
      <c r="J2" s="21"/>
      <c r="K2" s="184"/>
      <c r="L2" s="22"/>
      <c r="M2" s="222"/>
      <c r="N2" s="222"/>
      <c r="O2" s="223"/>
      <c r="P2" s="223"/>
      <c r="Q2" s="223"/>
      <c r="R2" s="223"/>
      <c r="S2" s="223"/>
      <c r="T2" s="223"/>
      <c r="U2" s="223"/>
      <c r="V2" s="223"/>
      <c r="W2" s="188"/>
      <c r="X2" s="188"/>
      <c r="Y2" s="188"/>
      <c r="Z2" s="260"/>
      <c r="AA2" s="224"/>
      <c r="AB2" s="167"/>
    </row>
    <row r="3" spans="1:29" x14ac:dyDescent="0.25">
      <c r="A3" s="249" t="s">
        <v>29</v>
      </c>
      <c r="B3" s="97">
        <v>742</v>
      </c>
      <c r="C3" s="250">
        <v>337</v>
      </c>
      <c r="D3" s="250">
        <v>35</v>
      </c>
      <c r="E3" s="251">
        <v>1</v>
      </c>
      <c r="F3" s="251">
        <f>SUM(D3:E3)</f>
        <v>36</v>
      </c>
      <c r="G3" s="252">
        <v>28</v>
      </c>
      <c r="H3" s="97">
        <v>80</v>
      </c>
      <c r="I3" s="97">
        <v>4018</v>
      </c>
      <c r="J3" s="253">
        <f>H3/I3</f>
        <v>1.9910403185664508E-2</v>
      </c>
      <c r="K3" s="206"/>
      <c r="L3" s="26"/>
      <c r="M3" s="237">
        <v>1365</v>
      </c>
      <c r="N3" s="208">
        <f>(M3-B3)/B3</f>
        <v>0.839622641509434</v>
      </c>
      <c r="O3" s="238">
        <v>643</v>
      </c>
      <c r="P3" s="37">
        <f>(0.5*337)+C3</f>
        <v>505.5</v>
      </c>
      <c r="Q3" s="28">
        <v>50</v>
      </c>
      <c r="R3" s="28">
        <v>4</v>
      </c>
      <c r="S3" s="28">
        <f>Q3+R3</f>
        <v>54</v>
      </c>
      <c r="T3" s="37">
        <f>(0.5*F3)+F3</f>
        <v>54</v>
      </c>
      <c r="U3" s="27">
        <v>48</v>
      </c>
      <c r="V3" s="27"/>
      <c r="W3" s="239">
        <v>584</v>
      </c>
      <c r="X3" s="239">
        <v>156</v>
      </c>
      <c r="Y3" s="240">
        <f>156/(584-50)</f>
        <v>0.29213483146067415</v>
      </c>
      <c r="Z3" s="261"/>
      <c r="AA3" s="27">
        <v>377</v>
      </c>
      <c r="AB3" s="57">
        <f>W3-X3-AA3</f>
        <v>51</v>
      </c>
    </row>
    <row r="4" spans="1:29" x14ac:dyDescent="0.25">
      <c r="A4" s="178" t="s">
        <v>30</v>
      </c>
      <c r="B4" s="177">
        <v>1117</v>
      </c>
      <c r="C4" s="179">
        <v>627</v>
      </c>
      <c r="D4" s="179">
        <v>45</v>
      </c>
      <c r="E4" s="180">
        <v>1</v>
      </c>
      <c r="F4" s="180">
        <f t="shared" ref="F4:F35" si="0">SUM(D4:E4)</f>
        <v>46</v>
      </c>
      <c r="G4" s="181">
        <v>16</v>
      </c>
      <c r="H4" s="177"/>
      <c r="I4" s="177"/>
      <c r="J4" s="254"/>
      <c r="K4" s="206"/>
      <c r="L4" s="26"/>
      <c r="M4" s="241">
        <v>2303</v>
      </c>
      <c r="N4" s="198">
        <f t="shared" ref="N4:N56" si="1">(M4-B4)/B4</f>
        <v>1.0617726051924798</v>
      </c>
      <c r="O4" s="228">
        <v>1116</v>
      </c>
      <c r="P4" s="40">
        <f>(0.5*C4)+C4</f>
        <v>940.5</v>
      </c>
      <c r="Q4" s="36">
        <v>132</v>
      </c>
      <c r="R4" s="36">
        <v>3</v>
      </c>
      <c r="S4" s="36">
        <f t="shared" ref="S4:S56" si="2">Q4+R4</f>
        <v>135</v>
      </c>
      <c r="T4" s="40">
        <f t="shared" ref="T4:T56" si="3">(0.5*F4)+F4</f>
        <v>69</v>
      </c>
      <c r="U4" s="64">
        <v>49</v>
      </c>
      <c r="V4" s="64"/>
      <c r="W4" s="229">
        <v>688</v>
      </c>
      <c r="X4" s="229">
        <v>267</v>
      </c>
      <c r="Y4" s="230">
        <f>267/(688-81)</f>
        <v>0.43986820428336076</v>
      </c>
      <c r="Z4" s="262"/>
      <c r="AA4" s="25">
        <v>338</v>
      </c>
      <c r="AB4" s="43">
        <f t="shared" ref="AB4:AB50" si="4">W4-X4-AA4</f>
        <v>83</v>
      </c>
    </row>
    <row r="5" spans="1:29" x14ac:dyDescent="0.25">
      <c r="A5" s="155" t="s">
        <v>31</v>
      </c>
      <c r="B5" s="64">
        <v>1196</v>
      </c>
      <c r="C5" s="23">
        <v>693</v>
      </c>
      <c r="D5" s="23">
        <v>49</v>
      </c>
      <c r="E5" s="29"/>
      <c r="F5" s="24">
        <f t="shared" si="0"/>
        <v>49</v>
      </c>
      <c r="G5" s="23">
        <v>34</v>
      </c>
      <c r="H5" s="30">
        <v>215</v>
      </c>
      <c r="I5" s="30">
        <v>1213</v>
      </c>
      <c r="J5" s="255">
        <f t="shared" ref="J5:J50" si="5">H5/I5</f>
        <v>0.17724649629018963</v>
      </c>
      <c r="K5" s="206"/>
      <c r="L5" s="26"/>
      <c r="M5" s="242">
        <v>2138</v>
      </c>
      <c r="N5" s="198">
        <f t="shared" si="1"/>
        <v>0.7876254180602007</v>
      </c>
      <c r="O5" s="231">
        <v>961</v>
      </c>
      <c r="P5" s="65">
        <f t="shared" ref="P5:P57" si="6">(0.5*C5)+C5</f>
        <v>1039.5</v>
      </c>
      <c r="Q5" s="36">
        <v>93</v>
      </c>
      <c r="R5" s="36">
        <v>7</v>
      </c>
      <c r="S5" s="36">
        <f t="shared" si="2"/>
        <v>100</v>
      </c>
      <c r="T5" s="40">
        <f t="shared" si="3"/>
        <v>73.5</v>
      </c>
      <c r="U5" s="25">
        <v>59</v>
      </c>
      <c r="V5" s="25"/>
      <c r="W5" s="32">
        <v>1435</v>
      </c>
      <c r="X5" s="32">
        <v>449</v>
      </c>
      <c r="Y5" s="232">
        <f>449/(1435-206)</f>
        <v>0.36533767290480063</v>
      </c>
      <c r="Z5" s="198"/>
      <c r="AA5" s="25">
        <v>774</v>
      </c>
      <c r="AB5" s="43">
        <f t="shared" si="4"/>
        <v>212</v>
      </c>
    </row>
    <row r="6" spans="1:29" x14ac:dyDescent="0.25">
      <c r="A6" s="155" t="s">
        <v>32</v>
      </c>
      <c r="B6" s="64">
        <v>703</v>
      </c>
      <c r="C6" s="23">
        <v>344</v>
      </c>
      <c r="D6" s="23">
        <v>59</v>
      </c>
      <c r="E6" s="29"/>
      <c r="F6" s="24">
        <f t="shared" si="0"/>
        <v>59</v>
      </c>
      <c r="G6" s="23">
        <v>27</v>
      </c>
      <c r="H6" s="31">
        <v>98</v>
      </c>
      <c r="I6" s="31">
        <v>489</v>
      </c>
      <c r="J6" s="256">
        <f t="shared" si="5"/>
        <v>0.20040899795501022</v>
      </c>
      <c r="K6" s="206"/>
      <c r="L6" s="26"/>
      <c r="M6" s="242">
        <v>1150</v>
      </c>
      <c r="N6" s="198">
        <f t="shared" si="1"/>
        <v>0.63584637268847799</v>
      </c>
      <c r="O6" s="231">
        <v>473</v>
      </c>
      <c r="P6" s="65">
        <f t="shared" si="6"/>
        <v>516</v>
      </c>
      <c r="Q6" s="36">
        <v>103</v>
      </c>
      <c r="R6" s="36">
        <v>2</v>
      </c>
      <c r="S6" s="36">
        <f t="shared" si="2"/>
        <v>105</v>
      </c>
      <c r="T6" s="40">
        <f t="shared" si="3"/>
        <v>88.5</v>
      </c>
      <c r="U6" s="25">
        <v>26</v>
      </c>
      <c r="V6" s="25"/>
      <c r="W6" s="32">
        <v>490</v>
      </c>
      <c r="X6" s="32">
        <v>202</v>
      </c>
      <c r="Y6" s="232">
        <f>202/490</f>
        <v>0.41224489795918368</v>
      </c>
      <c r="Z6" s="198"/>
      <c r="AA6" s="25">
        <v>288</v>
      </c>
      <c r="AB6" s="43">
        <f t="shared" si="4"/>
        <v>0</v>
      </c>
    </row>
    <row r="7" spans="1:29" x14ac:dyDescent="0.25">
      <c r="A7" s="155" t="s">
        <v>33</v>
      </c>
      <c r="B7" s="64">
        <v>1231</v>
      </c>
      <c r="C7" s="23">
        <v>739</v>
      </c>
      <c r="D7" s="23">
        <v>63</v>
      </c>
      <c r="E7" s="29">
        <v>2</v>
      </c>
      <c r="F7" s="24">
        <f t="shared" si="0"/>
        <v>65</v>
      </c>
      <c r="G7" s="23">
        <v>46</v>
      </c>
      <c r="H7" s="30">
        <v>83</v>
      </c>
      <c r="I7" s="30">
        <v>710</v>
      </c>
      <c r="J7" s="255">
        <f t="shared" si="5"/>
        <v>0.11690140845070422</v>
      </c>
      <c r="K7" s="206"/>
      <c r="L7" s="26"/>
      <c r="M7" s="242">
        <v>2290</v>
      </c>
      <c r="N7" s="198">
        <f t="shared" si="1"/>
        <v>0.86027619821283507</v>
      </c>
      <c r="O7" s="228">
        <v>1212</v>
      </c>
      <c r="P7" s="40">
        <f t="shared" si="6"/>
        <v>1108.5</v>
      </c>
      <c r="Q7" s="36">
        <v>144</v>
      </c>
      <c r="R7" s="36">
        <v>2</v>
      </c>
      <c r="S7" s="36">
        <f t="shared" si="2"/>
        <v>146</v>
      </c>
      <c r="T7" s="40">
        <f t="shared" si="3"/>
        <v>97.5</v>
      </c>
      <c r="U7" s="25">
        <v>68</v>
      </c>
      <c r="V7" s="25"/>
      <c r="W7" s="32">
        <v>872</v>
      </c>
      <c r="X7" s="32">
        <v>201</v>
      </c>
      <c r="Y7" s="232">
        <f>201/(872-116)</f>
        <v>0.26587301587301587</v>
      </c>
      <c r="Z7" s="198"/>
      <c r="AA7" s="25">
        <v>554</v>
      </c>
      <c r="AB7" s="43">
        <f t="shared" si="4"/>
        <v>117</v>
      </c>
    </row>
    <row r="8" spans="1:29" x14ac:dyDescent="0.25">
      <c r="A8" s="155" t="s">
        <v>34</v>
      </c>
      <c r="B8" s="64">
        <v>1416</v>
      </c>
      <c r="C8" s="23">
        <v>541</v>
      </c>
      <c r="D8" s="23">
        <v>99</v>
      </c>
      <c r="E8" s="29">
        <v>5</v>
      </c>
      <c r="F8" s="24">
        <f t="shared" si="0"/>
        <v>104</v>
      </c>
      <c r="G8" s="23">
        <v>36</v>
      </c>
      <c r="H8" s="30">
        <v>86</v>
      </c>
      <c r="I8" s="30">
        <v>884</v>
      </c>
      <c r="J8" s="255">
        <f>H8/I8</f>
        <v>9.7285067873303169E-2</v>
      </c>
      <c r="K8" s="206"/>
      <c r="L8" s="26"/>
      <c r="M8" s="242">
        <v>1927</v>
      </c>
      <c r="N8" s="198">
        <f t="shared" si="1"/>
        <v>0.36087570621468928</v>
      </c>
      <c r="O8" s="231">
        <v>608</v>
      </c>
      <c r="P8" s="65">
        <f t="shared" si="6"/>
        <v>811.5</v>
      </c>
      <c r="Q8" s="32">
        <v>152</v>
      </c>
      <c r="R8" s="32">
        <v>1</v>
      </c>
      <c r="S8" s="32">
        <f t="shared" si="2"/>
        <v>153</v>
      </c>
      <c r="T8" s="65">
        <f t="shared" si="3"/>
        <v>156</v>
      </c>
      <c r="U8" s="25">
        <v>60</v>
      </c>
      <c r="V8" s="25"/>
      <c r="W8" s="32">
        <v>1068</v>
      </c>
      <c r="X8" s="32">
        <v>175</v>
      </c>
      <c r="Y8" s="232">
        <f>175/(1068-167)</f>
        <v>0.19422863485016648</v>
      </c>
      <c r="Z8" s="198"/>
      <c r="AA8" s="25">
        <v>721</v>
      </c>
      <c r="AB8" s="43">
        <f t="shared" si="4"/>
        <v>172</v>
      </c>
    </row>
    <row r="9" spans="1:29" x14ac:dyDescent="0.25">
      <c r="A9" s="155" t="s">
        <v>35</v>
      </c>
      <c r="B9" s="64">
        <v>1068</v>
      </c>
      <c r="C9" s="23">
        <v>477</v>
      </c>
      <c r="D9" s="23">
        <v>51</v>
      </c>
      <c r="E9" s="29">
        <v>1</v>
      </c>
      <c r="F9" s="24">
        <f t="shared" si="0"/>
        <v>52</v>
      </c>
      <c r="G9" s="23">
        <v>40</v>
      </c>
      <c r="H9" s="30">
        <v>34</v>
      </c>
      <c r="I9" s="30">
        <v>574</v>
      </c>
      <c r="J9" s="255">
        <f>H9/I9</f>
        <v>5.9233449477351915E-2</v>
      </c>
      <c r="K9" s="206"/>
      <c r="L9" s="26"/>
      <c r="M9" s="242">
        <v>1446</v>
      </c>
      <c r="N9" s="198">
        <f t="shared" si="1"/>
        <v>0.3539325842696629</v>
      </c>
      <c r="O9" s="231">
        <v>631</v>
      </c>
      <c r="P9" s="65">
        <f t="shared" si="6"/>
        <v>715.5</v>
      </c>
      <c r="Q9" s="36">
        <v>95</v>
      </c>
      <c r="R9" s="36">
        <v>6</v>
      </c>
      <c r="S9" s="36">
        <f t="shared" si="2"/>
        <v>101</v>
      </c>
      <c r="T9" s="40">
        <f t="shared" si="3"/>
        <v>78</v>
      </c>
      <c r="U9" s="25">
        <v>52</v>
      </c>
      <c r="V9" s="25"/>
      <c r="W9" s="32">
        <v>596</v>
      </c>
      <c r="X9" s="32">
        <v>95</v>
      </c>
      <c r="Y9" s="232">
        <f>95/(596-76)</f>
        <v>0.18269230769230768</v>
      </c>
      <c r="Z9" s="198"/>
      <c r="AA9" s="25">
        <v>425</v>
      </c>
      <c r="AB9" s="43">
        <f t="shared" si="4"/>
        <v>76</v>
      </c>
    </row>
    <row r="10" spans="1:29" x14ac:dyDescent="0.25">
      <c r="A10" s="155" t="s">
        <v>36</v>
      </c>
      <c r="B10" s="64">
        <v>98</v>
      </c>
      <c r="C10" s="23">
        <v>63</v>
      </c>
      <c r="D10" s="23">
        <v>24</v>
      </c>
      <c r="E10" s="29"/>
      <c r="F10" s="24">
        <f t="shared" si="0"/>
        <v>24</v>
      </c>
      <c r="G10" s="23"/>
      <c r="H10" s="30">
        <v>34</v>
      </c>
      <c r="I10" s="30">
        <v>332</v>
      </c>
      <c r="J10" s="255">
        <f t="shared" si="5"/>
        <v>0.10240963855421686</v>
      </c>
      <c r="K10" s="206"/>
      <c r="L10" s="26"/>
      <c r="M10" s="242">
        <v>187</v>
      </c>
      <c r="N10" s="198">
        <f t="shared" si="1"/>
        <v>0.90816326530612246</v>
      </c>
      <c r="O10" s="228">
        <v>99</v>
      </c>
      <c r="P10" s="40">
        <f t="shared" si="6"/>
        <v>94.5</v>
      </c>
      <c r="Q10" s="32">
        <v>20</v>
      </c>
      <c r="R10" s="32">
        <v>0</v>
      </c>
      <c r="S10" s="32">
        <f t="shared" si="2"/>
        <v>20</v>
      </c>
      <c r="T10" s="65">
        <f t="shared" si="3"/>
        <v>36</v>
      </c>
      <c r="U10" s="25">
        <v>4</v>
      </c>
      <c r="V10" s="25"/>
      <c r="W10" s="32">
        <v>365</v>
      </c>
      <c r="X10" s="32">
        <v>61</v>
      </c>
      <c r="Y10" s="232">
        <f>61/(365-50)</f>
        <v>0.19365079365079366</v>
      </c>
      <c r="Z10" s="198"/>
      <c r="AA10" s="25">
        <v>254</v>
      </c>
      <c r="AB10" s="43">
        <f t="shared" si="4"/>
        <v>50</v>
      </c>
    </row>
    <row r="11" spans="1:29" x14ac:dyDescent="0.25">
      <c r="A11" s="155" t="s">
        <v>37</v>
      </c>
      <c r="B11" s="64">
        <v>64</v>
      </c>
      <c r="C11" s="23">
        <v>45</v>
      </c>
      <c r="D11" s="23">
        <v>5</v>
      </c>
      <c r="E11" s="29"/>
      <c r="F11" s="24">
        <f t="shared" si="0"/>
        <v>5</v>
      </c>
      <c r="G11" s="23"/>
      <c r="H11" s="30">
        <v>13</v>
      </c>
      <c r="I11" s="30">
        <v>293</v>
      </c>
      <c r="J11" s="255">
        <f t="shared" si="5"/>
        <v>4.4368600682593858E-2</v>
      </c>
      <c r="K11" s="206"/>
      <c r="L11" s="26"/>
      <c r="M11" s="242">
        <v>103</v>
      </c>
      <c r="N11" s="198">
        <f t="shared" si="1"/>
        <v>0.609375</v>
      </c>
      <c r="O11" s="231">
        <v>56</v>
      </c>
      <c r="P11" s="65">
        <f t="shared" si="6"/>
        <v>67.5</v>
      </c>
      <c r="Q11" s="36">
        <v>12</v>
      </c>
      <c r="R11" s="36">
        <v>0</v>
      </c>
      <c r="S11" s="36">
        <f t="shared" si="2"/>
        <v>12</v>
      </c>
      <c r="T11" s="40">
        <f t="shared" si="3"/>
        <v>7.5</v>
      </c>
      <c r="U11" s="25">
        <v>3</v>
      </c>
      <c r="V11" s="25"/>
      <c r="W11" s="36">
        <v>135</v>
      </c>
      <c r="X11" s="36">
        <v>47</v>
      </c>
      <c r="Y11" s="233">
        <f>47/(135-56)</f>
        <v>0.59493670886075944</v>
      </c>
      <c r="Z11" s="198"/>
      <c r="AA11" s="25">
        <v>32</v>
      </c>
      <c r="AB11" s="43">
        <f t="shared" si="4"/>
        <v>56</v>
      </c>
    </row>
    <row r="12" spans="1:29" x14ac:dyDescent="0.25">
      <c r="A12" s="155" t="s">
        <v>38</v>
      </c>
      <c r="B12" s="64">
        <v>482</v>
      </c>
      <c r="C12" s="23">
        <v>216</v>
      </c>
      <c r="D12" s="23">
        <v>37</v>
      </c>
      <c r="E12" s="29"/>
      <c r="F12" s="24">
        <f t="shared" si="0"/>
        <v>37</v>
      </c>
      <c r="G12" s="23">
        <v>15</v>
      </c>
      <c r="H12" s="31">
        <v>177</v>
      </c>
      <c r="I12" s="31">
        <v>540</v>
      </c>
      <c r="J12" s="256">
        <f t="shared" si="5"/>
        <v>0.32777777777777778</v>
      </c>
      <c r="K12" s="206"/>
      <c r="L12" s="26"/>
      <c r="M12" s="242">
        <v>808</v>
      </c>
      <c r="N12" s="198">
        <f t="shared" si="1"/>
        <v>0.67634854771784236</v>
      </c>
      <c r="O12" s="231">
        <v>298</v>
      </c>
      <c r="P12" s="65">
        <f t="shared" si="6"/>
        <v>324</v>
      </c>
      <c r="Q12" s="36">
        <v>64</v>
      </c>
      <c r="R12" s="36">
        <v>6</v>
      </c>
      <c r="S12" s="36">
        <f t="shared" si="2"/>
        <v>70</v>
      </c>
      <c r="T12" s="40">
        <f t="shared" si="3"/>
        <v>55.5</v>
      </c>
      <c r="U12" s="25">
        <v>55</v>
      </c>
      <c r="V12" s="25"/>
      <c r="W12" s="36">
        <v>596</v>
      </c>
      <c r="X12" s="36">
        <v>302</v>
      </c>
      <c r="Y12" s="233">
        <f>302/596</f>
        <v>0.50671140939597314</v>
      </c>
      <c r="Z12" s="198"/>
      <c r="AA12" s="25">
        <v>294</v>
      </c>
      <c r="AB12" s="43">
        <f t="shared" si="4"/>
        <v>0</v>
      </c>
    </row>
    <row r="13" spans="1:29" x14ac:dyDescent="0.25">
      <c r="A13" s="155" t="s">
        <v>39</v>
      </c>
      <c r="B13" s="64">
        <v>174</v>
      </c>
      <c r="C13" s="23">
        <v>96</v>
      </c>
      <c r="D13" s="23">
        <v>7</v>
      </c>
      <c r="E13" s="29">
        <v>1</v>
      </c>
      <c r="F13" s="24">
        <f t="shared" si="0"/>
        <v>8</v>
      </c>
      <c r="G13" s="23">
        <v>2</v>
      </c>
      <c r="H13" s="31">
        <v>10</v>
      </c>
      <c r="I13" s="31">
        <v>444</v>
      </c>
      <c r="J13" s="256">
        <f t="shared" si="5"/>
        <v>2.2522522522522521E-2</v>
      </c>
      <c r="K13" s="206"/>
      <c r="L13" s="26"/>
      <c r="M13" s="242">
        <v>225</v>
      </c>
      <c r="N13" s="198">
        <f t="shared" si="1"/>
        <v>0.29310344827586204</v>
      </c>
      <c r="O13" s="231">
        <v>97</v>
      </c>
      <c r="P13" s="65">
        <f t="shared" si="6"/>
        <v>144</v>
      </c>
      <c r="Q13" s="32">
        <v>10</v>
      </c>
      <c r="R13" s="32">
        <v>0</v>
      </c>
      <c r="S13" s="32">
        <f t="shared" si="2"/>
        <v>10</v>
      </c>
      <c r="T13" s="65">
        <f t="shared" si="3"/>
        <v>12</v>
      </c>
      <c r="U13" s="25">
        <v>3</v>
      </c>
      <c r="V13" s="25"/>
      <c r="W13" s="32">
        <v>348</v>
      </c>
      <c r="X13" s="32">
        <v>37</v>
      </c>
      <c r="Y13" s="232">
        <f>37/(348-82)</f>
        <v>0.13909774436090225</v>
      </c>
      <c r="Z13" s="198"/>
      <c r="AA13" s="25">
        <v>229</v>
      </c>
      <c r="AB13" s="43">
        <f t="shared" si="4"/>
        <v>82</v>
      </c>
    </row>
    <row r="14" spans="1:29" x14ac:dyDescent="0.25">
      <c r="A14" s="155" t="s">
        <v>40</v>
      </c>
      <c r="B14" s="64">
        <v>70</v>
      </c>
      <c r="C14" s="23">
        <v>25</v>
      </c>
      <c r="D14" s="23">
        <v>3</v>
      </c>
      <c r="E14" s="29"/>
      <c r="F14" s="24">
        <f t="shared" si="0"/>
        <v>3</v>
      </c>
      <c r="G14" s="23">
        <v>2</v>
      </c>
      <c r="H14" s="31">
        <v>8</v>
      </c>
      <c r="I14" s="31">
        <v>195</v>
      </c>
      <c r="J14" s="256">
        <f t="shared" si="5"/>
        <v>4.1025641025641026E-2</v>
      </c>
      <c r="K14" s="206"/>
      <c r="L14" s="26"/>
      <c r="M14" s="242">
        <v>66</v>
      </c>
      <c r="N14" s="198">
        <f t="shared" si="1"/>
        <v>-5.7142857142857141E-2</v>
      </c>
      <c r="O14" s="231">
        <v>28</v>
      </c>
      <c r="P14" s="65">
        <f t="shared" si="6"/>
        <v>37.5</v>
      </c>
      <c r="Q14" s="36">
        <v>4</v>
      </c>
      <c r="R14" s="36">
        <v>2</v>
      </c>
      <c r="S14" s="36">
        <f t="shared" si="2"/>
        <v>6</v>
      </c>
      <c r="T14" s="40">
        <f t="shared" si="3"/>
        <v>4.5</v>
      </c>
      <c r="U14" s="25">
        <v>0</v>
      </c>
      <c r="V14" s="25"/>
      <c r="W14" s="107">
        <v>271</v>
      </c>
      <c r="X14" s="107">
        <v>12</v>
      </c>
      <c r="Y14" s="234">
        <f>12/(271-92)</f>
        <v>6.7039106145251395E-2</v>
      </c>
      <c r="Z14" s="198"/>
      <c r="AA14" s="25">
        <v>167</v>
      </c>
      <c r="AB14" s="43">
        <f t="shared" si="4"/>
        <v>92</v>
      </c>
    </row>
    <row r="15" spans="1:29" ht="28.9" customHeight="1" x14ac:dyDescent="0.25">
      <c r="A15" s="155" t="s">
        <v>41</v>
      </c>
      <c r="B15" s="64">
        <v>138</v>
      </c>
      <c r="C15" s="23">
        <v>26</v>
      </c>
      <c r="D15" s="23">
        <v>1</v>
      </c>
      <c r="E15" s="29"/>
      <c r="F15" s="24">
        <f t="shared" si="0"/>
        <v>1</v>
      </c>
      <c r="G15" s="23">
        <v>4</v>
      </c>
      <c r="H15" s="31">
        <v>15</v>
      </c>
      <c r="I15" s="31">
        <v>280</v>
      </c>
      <c r="J15" s="256">
        <f>H15/I15</f>
        <v>5.3571428571428568E-2</v>
      </c>
      <c r="K15" s="206"/>
      <c r="L15" s="26"/>
      <c r="M15" s="242">
        <v>120</v>
      </c>
      <c r="N15" s="198">
        <f t="shared" si="1"/>
        <v>-0.13043478260869565</v>
      </c>
      <c r="O15" s="228">
        <v>58</v>
      </c>
      <c r="P15" s="40">
        <f t="shared" si="6"/>
        <v>39</v>
      </c>
      <c r="Q15" s="32">
        <v>1</v>
      </c>
      <c r="R15" s="32">
        <v>0</v>
      </c>
      <c r="S15" s="32">
        <f t="shared" si="2"/>
        <v>1</v>
      </c>
      <c r="T15" s="65">
        <f t="shared" si="3"/>
        <v>1.5</v>
      </c>
      <c r="U15" s="25">
        <v>11</v>
      </c>
      <c r="V15" s="25"/>
      <c r="W15" s="107">
        <v>365</v>
      </c>
      <c r="X15" s="107">
        <v>14</v>
      </c>
      <c r="Y15" s="234">
        <f>14/(365-45)</f>
        <v>4.3749999999999997E-2</v>
      </c>
      <c r="Z15" s="198"/>
      <c r="AA15" s="25">
        <v>306</v>
      </c>
      <c r="AB15" s="43">
        <f t="shared" si="4"/>
        <v>45</v>
      </c>
      <c r="AC15" s="150" t="s">
        <v>281</v>
      </c>
    </row>
    <row r="16" spans="1:29" x14ac:dyDescent="0.25">
      <c r="A16" s="155" t="s">
        <v>42</v>
      </c>
      <c r="B16" s="64">
        <v>656</v>
      </c>
      <c r="C16" s="23">
        <v>370</v>
      </c>
      <c r="D16" s="23">
        <v>84</v>
      </c>
      <c r="E16" s="29">
        <v>2</v>
      </c>
      <c r="F16" s="24">
        <f t="shared" si="0"/>
        <v>86</v>
      </c>
      <c r="G16" s="23">
        <v>20</v>
      </c>
      <c r="H16" s="31">
        <v>82</v>
      </c>
      <c r="I16" s="31">
        <v>407</v>
      </c>
      <c r="J16" s="256">
        <f t="shared" si="5"/>
        <v>0.20147420147420148</v>
      </c>
      <c r="K16" s="206"/>
      <c r="L16" s="26"/>
      <c r="M16" s="242">
        <v>988</v>
      </c>
      <c r="N16" s="198">
        <f t="shared" si="1"/>
        <v>0.50609756097560976</v>
      </c>
      <c r="O16" s="228">
        <v>567</v>
      </c>
      <c r="P16" s="40">
        <f t="shared" si="6"/>
        <v>555</v>
      </c>
      <c r="Q16" s="32">
        <v>61</v>
      </c>
      <c r="R16" s="32">
        <v>4</v>
      </c>
      <c r="S16" s="32">
        <f t="shared" si="2"/>
        <v>65</v>
      </c>
      <c r="T16" s="65">
        <f t="shared" si="3"/>
        <v>129</v>
      </c>
      <c r="U16" s="25">
        <v>16</v>
      </c>
      <c r="V16" s="25"/>
      <c r="W16" s="32">
        <v>518</v>
      </c>
      <c r="X16" s="32">
        <v>161</v>
      </c>
      <c r="Y16" s="232">
        <f>161/(518-51)</f>
        <v>0.34475374732334046</v>
      </c>
      <c r="Z16" s="198"/>
      <c r="AA16" s="25">
        <v>306</v>
      </c>
      <c r="AB16" s="43">
        <f t="shared" si="4"/>
        <v>51</v>
      </c>
    </row>
    <row r="17" spans="1:28" x14ac:dyDescent="0.25">
      <c r="A17" s="155" t="s">
        <v>43</v>
      </c>
      <c r="B17" s="64">
        <v>425</v>
      </c>
      <c r="C17" s="23">
        <v>230</v>
      </c>
      <c r="D17" s="23">
        <v>46</v>
      </c>
      <c r="E17" s="29"/>
      <c r="F17" s="24">
        <f t="shared" si="0"/>
        <v>46</v>
      </c>
      <c r="G17" s="23">
        <v>10</v>
      </c>
      <c r="H17" s="31">
        <v>86</v>
      </c>
      <c r="I17" s="31">
        <v>490</v>
      </c>
      <c r="J17" s="256">
        <f t="shared" si="5"/>
        <v>0.17551020408163265</v>
      </c>
      <c r="K17" s="206"/>
      <c r="L17" s="26"/>
      <c r="M17" s="242">
        <v>639</v>
      </c>
      <c r="N17" s="198">
        <f t="shared" si="1"/>
        <v>0.50352941176470589</v>
      </c>
      <c r="O17" s="231">
        <v>316</v>
      </c>
      <c r="P17" s="65">
        <f t="shared" si="6"/>
        <v>345</v>
      </c>
      <c r="Q17" s="32">
        <v>53</v>
      </c>
      <c r="R17" s="32">
        <v>1</v>
      </c>
      <c r="S17" s="32">
        <f t="shared" si="2"/>
        <v>54</v>
      </c>
      <c r="T17" s="65">
        <f t="shared" si="3"/>
        <v>69</v>
      </c>
      <c r="U17" s="25">
        <v>27</v>
      </c>
      <c r="V17" s="25"/>
      <c r="W17" s="32">
        <v>560</v>
      </c>
      <c r="X17" s="32">
        <v>216</v>
      </c>
      <c r="Y17" s="232">
        <f>216/(560-40)</f>
        <v>0.41538461538461541</v>
      </c>
      <c r="Z17" s="198"/>
      <c r="AA17" s="25">
        <v>304</v>
      </c>
      <c r="AB17" s="43">
        <f t="shared" si="4"/>
        <v>40</v>
      </c>
    </row>
    <row r="18" spans="1:28" x14ac:dyDescent="0.25">
      <c r="A18" s="155" t="s">
        <v>44</v>
      </c>
      <c r="B18" s="64">
        <v>12</v>
      </c>
      <c r="C18" s="23">
        <v>6</v>
      </c>
      <c r="D18" s="23">
        <v>1</v>
      </c>
      <c r="E18" s="29"/>
      <c r="F18" s="24">
        <f t="shared" si="0"/>
        <v>1</v>
      </c>
      <c r="G18" s="23"/>
      <c r="H18" s="31">
        <v>3</v>
      </c>
      <c r="I18" s="31">
        <v>16</v>
      </c>
      <c r="J18" s="256">
        <f t="shared" si="5"/>
        <v>0.1875</v>
      </c>
      <c r="K18" s="206"/>
      <c r="L18" s="26"/>
      <c r="M18" s="242">
        <v>17</v>
      </c>
      <c r="N18" s="198">
        <f t="shared" si="1"/>
        <v>0.41666666666666669</v>
      </c>
      <c r="O18" s="231">
        <v>8</v>
      </c>
      <c r="P18" s="65">
        <v>20</v>
      </c>
      <c r="Q18" s="32">
        <v>0</v>
      </c>
      <c r="R18" s="32">
        <v>0</v>
      </c>
      <c r="S18" s="32">
        <f t="shared" si="2"/>
        <v>0</v>
      </c>
      <c r="T18" s="65">
        <f t="shared" si="3"/>
        <v>1.5</v>
      </c>
      <c r="U18" s="25">
        <v>1</v>
      </c>
      <c r="V18" s="25"/>
      <c r="W18" s="32">
        <v>10</v>
      </c>
      <c r="X18" s="32">
        <v>2</v>
      </c>
      <c r="Y18" s="232">
        <f>2/10</f>
        <v>0.2</v>
      </c>
      <c r="Z18" s="198"/>
      <c r="AA18" s="25">
        <v>8</v>
      </c>
      <c r="AB18" s="43">
        <f t="shared" si="4"/>
        <v>0</v>
      </c>
    </row>
    <row r="19" spans="1:28" x14ac:dyDescent="0.25">
      <c r="A19" s="155" t="s">
        <v>45</v>
      </c>
      <c r="B19" s="64">
        <v>361</v>
      </c>
      <c r="C19" s="23">
        <v>249</v>
      </c>
      <c r="D19" s="23">
        <v>24</v>
      </c>
      <c r="E19" s="29">
        <v>1</v>
      </c>
      <c r="F19" s="24">
        <f t="shared" si="0"/>
        <v>25</v>
      </c>
      <c r="G19" s="23">
        <v>10</v>
      </c>
      <c r="H19" s="31">
        <v>122</v>
      </c>
      <c r="I19" s="31">
        <v>592</v>
      </c>
      <c r="J19" s="256">
        <f t="shared" si="5"/>
        <v>0.20608108108108109</v>
      </c>
      <c r="K19" s="206"/>
      <c r="L19" s="26"/>
      <c r="M19" s="242">
        <v>567</v>
      </c>
      <c r="N19" s="198">
        <f t="shared" si="1"/>
        <v>0.5706371191135734</v>
      </c>
      <c r="O19" s="231">
        <v>371</v>
      </c>
      <c r="P19" s="65">
        <f t="shared" si="6"/>
        <v>373.5</v>
      </c>
      <c r="Q19" s="36">
        <v>42</v>
      </c>
      <c r="R19" s="36">
        <v>0</v>
      </c>
      <c r="S19" s="36">
        <f t="shared" si="2"/>
        <v>42</v>
      </c>
      <c r="T19" s="40">
        <f t="shared" si="3"/>
        <v>37.5</v>
      </c>
      <c r="U19" s="25">
        <v>10</v>
      </c>
      <c r="V19" s="25"/>
      <c r="W19" s="32">
        <v>727</v>
      </c>
      <c r="X19" s="32">
        <v>270</v>
      </c>
      <c r="Y19" s="232">
        <f>270/(727-67)</f>
        <v>0.40909090909090912</v>
      </c>
      <c r="Z19" s="198"/>
      <c r="AA19" s="25">
        <v>390</v>
      </c>
      <c r="AB19" s="43">
        <f t="shared" si="4"/>
        <v>67</v>
      </c>
    </row>
    <row r="20" spans="1:28" x14ac:dyDescent="0.25">
      <c r="A20" s="155" t="s">
        <v>46</v>
      </c>
      <c r="B20" s="64">
        <v>596</v>
      </c>
      <c r="C20" s="23">
        <v>323</v>
      </c>
      <c r="D20" s="23">
        <v>23</v>
      </c>
      <c r="E20" s="29"/>
      <c r="F20" s="24">
        <f t="shared" si="0"/>
        <v>23</v>
      </c>
      <c r="G20" s="23">
        <v>8</v>
      </c>
      <c r="H20" s="30">
        <v>51</v>
      </c>
      <c r="I20" s="30">
        <v>799</v>
      </c>
      <c r="J20" s="255">
        <f t="shared" si="5"/>
        <v>6.3829787234042548E-2</v>
      </c>
      <c r="K20" s="206"/>
      <c r="L20" s="26"/>
      <c r="M20" s="242">
        <v>950</v>
      </c>
      <c r="N20" s="198">
        <f t="shared" si="1"/>
        <v>0.59395973154362414</v>
      </c>
      <c r="O20" s="228">
        <v>445</v>
      </c>
      <c r="P20" s="40">
        <f t="shared" si="6"/>
        <v>484.5</v>
      </c>
      <c r="Q20" s="36">
        <v>66</v>
      </c>
      <c r="R20" s="36">
        <v>2</v>
      </c>
      <c r="S20" s="36">
        <f t="shared" si="2"/>
        <v>68</v>
      </c>
      <c r="T20" s="40">
        <f t="shared" si="3"/>
        <v>34.5</v>
      </c>
      <c r="U20" s="25">
        <v>27</v>
      </c>
      <c r="V20" s="25"/>
      <c r="W20" s="32">
        <v>855</v>
      </c>
      <c r="X20" s="32">
        <v>142</v>
      </c>
      <c r="Y20" s="232">
        <f>142/(855-191)</f>
        <v>0.21385542168674698</v>
      </c>
      <c r="Z20" s="198"/>
      <c r="AA20" s="25">
        <v>522</v>
      </c>
      <c r="AB20" s="43">
        <f t="shared" si="4"/>
        <v>191</v>
      </c>
    </row>
    <row r="21" spans="1:28" s="14" customFormat="1" x14ac:dyDescent="0.25">
      <c r="A21" s="155" t="s">
        <v>252</v>
      </c>
      <c r="B21" s="59"/>
      <c r="C21" s="23"/>
      <c r="D21" s="23"/>
      <c r="E21" s="29"/>
      <c r="F21" s="24"/>
      <c r="G21" s="23"/>
      <c r="H21" s="30"/>
      <c r="I21" s="30"/>
      <c r="J21" s="255"/>
      <c r="K21" s="206"/>
      <c r="L21" s="26"/>
      <c r="M21" s="241"/>
      <c r="N21" s="198"/>
      <c r="O21" s="235">
        <v>5</v>
      </c>
      <c r="P21" s="38"/>
      <c r="Q21" s="25">
        <v>1</v>
      </c>
      <c r="R21" s="25">
        <v>0</v>
      </c>
      <c r="S21" s="64">
        <f t="shared" si="2"/>
        <v>1</v>
      </c>
      <c r="T21" s="38"/>
      <c r="U21" s="25">
        <v>0</v>
      </c>
      <c r="V21" s="25"/>
      <c r="W21" s="32">
        <v>1216</v>
      </c>
      <c r="X21" s="32">
        <v>321</v>
      </c>
      <c r="Y21" s="232">
        <f>321/(1216-6)</f>
        <v>0.26528925619834709</v>
      </c>
      <c r="Z21" s="198"/>
      <c r="AA21" s="25">
        <v>889</v>
      </c>
      <c r="AB21" s="43">
        <f t="shared" si="4"/>
        <v>6</v>
      </c>
    </row>
    <row r="22" spans="1:28" x14ac:dyDescent="0.25">
      <c r="A22" s="155" t="s">
        <v>47</v>
      </c>
      <c r="B22" s="169">
        <v>619</v>
      </c>
      <c r="C22" s="23">
        <v>297</v>
      </c>
      <c r="D22" s="23">
        <v>49</v>
      </c>
      <c r="E22" s="29"/>
      <c r="F22" s="24">
        <f t="shared" si="0"/>
        <v>49</v>
      </c>
      <c r="G22" s="23">
        <v>10</v>
      </c>
      <c r="H22" s="30">
        <v>49</v>
      </c>
      <c r="I22" s="30">
        <v>807</v>
      </c>
      <c r="J22" s="255">
        <f t="shared" si="5"/>
        <v>6.0718711276332091E-2</v>
      </c>
      <c r="K22" s="206"/>
      <c r="L22" s="26"/>
      <c r="M22" s="241">
        <v>884</v>
      </c>
      <c r="N22" s="198">
        <f t="shared" si="1"/>
        <v>0.42810985460420031</v>
      </c>
      <c r="O22" s="231">
        <v>370</v>
      </c>
      <c r="P22" s="65">
        <f t="shared" si="6"/>
        <v>445.5</v>
      </c>
      <c r="Q22" s="32">
        <v>65</v>
      </c>
      <c r="R22" s="32">
        <v>4</v>
      </c>
      <c r="S22" s="32">
        <f t="shared" si="2"/>
        <v>69</v>
      </c>
      <c r="T22" s="65">
        <f t="shared" si="3"/>
        <v>73.5</v>
      </c>
      <c r="U22" s="25">
        <v>20</v>
      </c>
      <c r="V22" s="25"/>
      <c r="W22" s="107">
        <v>1324</v>
      </c>
      <c r="X22" s="107">
        <v>99</v>
      </c>
      <c r="Y22" s="234">
        <f>99/(1324-78)</f>
        <v>7.9454253611556988E-2</v>
      </c>
      <c r="Z22" s="198"/>
      <c r="AA22" s="25">
        <v>1147</v>
      </c>
      <c r="AB22" s="43">
        <f t="shared" si="4"/>
        <v>78</v>
      </c>
    </row>
    <row r="23" spans="1:28" x14ac:dyDescent="0.25">
      <c r="A23" s="155" t="s">
        <v>48</v>
      </c>
      <c r="B23" s="169">
        <v>71</v>
      </c>
      <c r="C23" s="23">
        <v>27</v>
      </c>
      <c r="D23" s="23">
        <v>9</v>
      </c>
      <c r="E23" s="29"/>
      <c r="F23" s="24">
        <f t="shared" si="0"/>
        <v>9</v>
      </c>
      <c r="G23" s="23">
        <v>5</v>
      </c>
      <c r="H23" s="30">
        <v>18</v>
      </c>
      <c r="I23" s="30">
        <v>358</v>
      </c>
      <c r="J23" s="255">
        <f t="shared" si="5"/>
        <v>5.027932960893855E-2</v>
      </c>
      <c r="K23" s="206"/>
      <c r="L23" s="26"/>
      <c r="M23" s="241">
        <v>83</v>
      </c>
      <c r="N23" s="198">
        <f t="shared" si="1"/>
        <v>0.16901408450704225</v>
      </c>
      <c r="O23" s="231">
        <v>28</v>
      </c>
      <c r="P23" s="65">
        <f t="shared" si="6"/>
        <v>40.5</v>
      </c>
      <c r="Q23" s="32">
        <v>6</v>
      </c>
      <c r="R23" s="32">
        <v>0</v>
      </c>
      <c r="S23" s="32">
        <f t="shared" si="2"/>
        <v>6</v>
      </c>
      <c r="T23" s="65">
        <f t="shared" si="3"/>
        <v>13.5</v>
      </c>
      <c r="U23" s="25">
        <v>9</v>
      </c>
      <c r="V23" s="25"/>
      <c r="W23" s="32">
        <v>306</v>
      </c>
      <c r="X23" s="32">
        <v>42</v>
      </c>
      <c r="Y23" s="232">
        <f>42/(306-25)</f>
        <v>0.1494661921708185</v>
      </c>
      <c r="Z23" s="198"/>
      <c r="AA23" s="25">
        <v>239</v>
      </c>
      <c r="AB23" s="43">
        <f t="shared" si="4"/>
        <v>25</v>
      </c>
    </row>
    <row r="24" spans="1:28" x14ac:dyDescent="0.25">
      <c r="A24" s="155" t="s">
        <v>49</v>
      </c>
      <c r="B24" s="169">
        <v>582</v>
      </c>
      <c r="C24" s="23">
        <v>290</v>
      </c>
      <c r="D24" s="23">
        <v>61</v>
      </c>
      <c r="E24" s="29"/>
      <c r="F24" s="24">
        <f t="shared" si="0"/>
        <v>61</v>
      </c>
      <c r="G24" s="23"/>
      <c r="H24" s="30">
        <v>54</v>
      </c>
      <c r="I24" s="30">
        <v>1415</v>
      </c>
      <c r="J24" s="255">
        <f t="shared" si="5"/>
        <v>3.8162544169611311E-2</v>
      </c>
      <c r="K24" s="206"/>
      <c r="L24" s="26"/>
      <c r="M24" s="241">
        <v>937</v>
      </c>
      <c r="N24" s="198">
        <f t="shared" si="1"/>
        <v>0.60996563573883167</v>
      </c>
      <c r="O24" s="231">
        <v>413</v>
      </c>
      <c r="P24" s="65">
        <f t="shared" si="6"/>
        <v>435</v>
      </c>
      <c r="Q24" s="32">
        <v>65</v>
      </c>
      <c r="R24" s="32">
        <v>1</v>
      </c>
      <c r="S24" s="32">
        <f t="shared" si="2"/>
        <v>66</v>
      </c>
      <c r="T24" s="65">
        <f t="shared" si="3"/>
        <v>91.5</v>
      </c>
      <c r="U24" s="25">
        <v>32</v>
      </c>
      <c r="V24" s="25"/>
      <c r="W24" s="32">
        <v>1213</v>
      </c>
      <c r="X24" s="32">
        <v>126</v>
      </c>
      <c r="Y24" s="232">
        <f>126/(1213-73)</f>
        <v>0.11052631578947368</v>
      </c>
      <c r="Z24" s="198"/>
      <c r="AA24" s="25">
        <v>1014</v>
      </c>
      <c r="AB24" s="43">
        <f t="shared" si="4"/>
        <v>73</v>
      </c>
    </row>
    <row r="25" spans="1:28" x14ac:dyDescent="0.25">
      <c r="A25" s="155" t="s">
        <v>50</v>
      </c>
      <c r="B25" s="169">
        <v>360</v>
      </c>
      <c r="C25" s="23">
        <v>216</v>
      </c>
      <c r="D25" s="23">
        <v>19</v>
      </c>
      <c r="E25" s="29"/>
      <c r="F25" s="24">
        <f t="shared" si="0"/>
        <v>19</v>
      </c>
      <c r="G25" s="23">
        <v>8</v>
      </c>
      <c r="H25" s="30">
        <v>32</v>
      </c>
      <c r="I25" s="30">
        <v>357</v>
      </c>
      <c r="J25" s="255">
        <f t="shared" si="5"/>
        <v>8.9635854341736695E-2</v>
      </c>
      <c r="K25" s="206"/>
      <c r="L25" s="26"/>
      <c r="M25" s="241">
        <v>812</v>
      </c>
      <c r="N25" s="198">
        <f t="shared" si="1"/>
        <v>1.2555555555555555</v>
      </c>
      <c r="O25" s="228">
        <v>463</v>
      </c>
      <c r="P25" s="40">
        <f t="shared" si="6"/>
        <v>324</v>
      </c>
      <c r="Q25" s="36">
        <v>85</v>
      </c>
      <c r="R25" s="36">
        <v>2</v>
      </c>
      <c r="S25" s="36">
        <f t="shared" si="2"/>
        <v>87</v>
      </c>
      <c r="T25" s="40">
        <f t="shared" si="3"/>
        <v>28.5</v>
      </c>
      <c r="U25" s="25">
        <v>10</v>
      </c>
      <c r="V25" s="25"/>
      <c r="W25" s="32">
        <v>308</v>
      </c>
      <c r="X25" s="32">
        <v>53</v>
      </c>
      <c r="Y25" s="232">
        <f>53/(308-22)</f>
        <v>0.18531468531468531</v>
      </c>
      <c r="Z25" s="198"/>
      <c r="AA25" s="25">
        <v>233</v>
      </c>
      <c r="AB25" s="43">
        <f t="shared" si="4"/>
        <v>22</v>
      </c>
    </row>
    <row r="26" spans="1:28" x14ac:dyDescent="0.25">
      <c r="A26" s="155" t="s">
        <v>51</v>
      </c>
      <c r="B26" s="169">
        <v>631</v>
      </c>
      <c r="C26" s="23">
        <v>353</v>
      </c>
      <c r="D26" s="23">
        <v>49</v>
      </c>
      <c r="E26" s="29">
        <v>1</v>
      </c>
      <c r="F26" s="24">
        <f t="shared" si="0"/>
        <v>50</v>
      </c>
      <c r="G26" s="23">
        <v>8</v>
      </c>
      <c r="H26" s="30">
        <v>107</v>
      </c>
      <c r="I26" s="30">
        <v>698</v>
      </c>
      <c r="J26" s="255">
        <f t="shared" si="5"/>
        <v>0.15329512893982808</v>
      </c>
      <c r="K26" s="206"/>
      <c r="L26" s="26"/>
      <c r="M26" s="241">
        <v>956</v>
      </c>
      <c r="N26" s="198">
        <f t="shared" si="1"/>
        <v>0.51505546751188591</v>
      </c>
      <c r="O26" s="228">
        <v>479</v>
      </c>
      <c r="P26" s="40">
        <f t="shared" si="6"/>
        <v>529.5</v>
      </c>
      <c r="Q26" s="32">
        <v>60</v>
      </c>
      <c r="R26" s="32">
        <v>1</v>
      </c>
      <c r="S26" s="32">
        <f t="shared" si="2"/>
        <v>61</v>
      </c>
      <c r="T26" s="65">
        <f t="shared" si="3"/>
        <v>75</v>
      </c>
      <c r="U26" s="64">
        <v>20</v>
      </c>
      <c r="V26" s="64"/>
      <c r="W26" s="32">
        <v>814</v>
      </c>
      <c r="X26" s="32">
        <v>242</v>
      </c>
      <c r="Y26" s="232">
        <f>242/(814-148)</f>
        <v>0.36336336336336339</v>
      </c>
      <c r="Z26" s="198"/>
      <c r="AA26" s="25">
        <v>424</v>
      </c>
      <c r="AB26" s="43">
        <f t="shared" si="4"/>
        <v>148</v>
      </c>
    </row>
    <row r="27" spans="1:28" x14ac:dyDescent="0.25">
      <c r="A27" s="155" t="s">
        <v>52</v>
      </c>
      <c r="B27" s="169">
        <v>243</v>
      </c>
      <c r="C27" s="23">
        <v>113</v>
      </c>
      <c r="D27" s="23">
        <v>42</v>
      </c>
      <c r="E27" s="29"/>
      <c r="F27" s="24">
        <f t="shared" si="0"/>
        <v>42</v>
      </c>
      <c r="G27" s="23"/>
      <c r="H27" s="30">
        <v>17</v>
      </c>
      <c r="I27" s="30">
        <v>554</v>
      </c>
      <c r="J27" s="255">
        <f t="shared" si="5"/>
        <v>3.0685920577617327E-2</v>
      </c>
      <c r="K27" s="206"/>
      <c r="L27" s="26"/>
      <c r="M27" s="241">
        <v>377</v>
      </c>
      <c r="N27" s="198">
        <f t="shared" si="1"/>
        <v>0.55144032921810704</v>
      </c>
      <c r="O27" s="228">
        <v>218</v>
      </c>
      <c r="P27" s="40">
        <f t="shared" si="6"/>
        <v>169.5</v>
      </c>
      <c r="Q27" s="32">
        <v>24</v>
      </c>
      <c r="R27" s="32">
        <v>0</v>
      </c>
      <c r="S27" s="32">
        <f t="shared" si="2"/>
        <v>24</v>
      </c>
      <c r="T27" s="65">
        <f t="shared" si="3"/>
        <v>63</v>
      </c>
      <c r="U27" s="64">
        <v>1</v>
      </c>
      <c r="V27" s="64"/>
      <c r="W27" s="107">
        <v>670</v>
      </c>
      <c r="X27" s="107">
        <v>38</v>
      </c>
      <c r="Y27" s="234">
        <f>38/(670-226)</f>
        <v>8.5585585585585586E-2</v>
      </c>
      <c r="Z27" s="198"/>
      <c r="AA27" s="25">
        <v>406</v>
      </c>
      <c r="AB27" s="43">
        <f t="shared" si="4"/>
        <v>226</v>
      </c>
    </row>
    <row r="28" spans="1:28" x14ac:dyDescent="0.25">
      <c r="A28" s="155" t="s">
        <v>53</v>
      </c>
      <c r="B28" s="169">
        <v>422</v>
      </c>
      <c r="C28" s="23">
        <v>215</v>
      </c>
      <c r="D28" s="23">
        <v>30</v>
      </c>
      <c r="E28" s="29"/>
      <c r="F28" s="24">
        <f t="shared" si="0"/>
        <v>30</v>
      </c>
      <c r="G28" s="23"/>
      <c r="H28" s="30">
        <v>41</v>
      </c>
      <c r="I28" s="30">
        <v>380</v>
      </c>
      <c r="J28" s="255">
        <f t="shared" si="5"/>
        <v>0.10789473684210527</v>
      </c>
      <c r="K28" s="206"/>
      <c r="L28" s="26"/>
      <c r="M28" s="241">
        <v>515</v>
      </c>
      <c r="N28" s="198">
        <f>(M28-B28)/B28</f>
        <v>0.22037914691943128</v>
      </c>
      <c r="O28" s="231">
        <v>218</v>
      </c>
      <c r="P28" s="65">
        <f t="shared" si="6"/>
        <v>322.5</v>
      </c>
      <c r="Q28" s="32">
        <v>27</v>
      </c>
      <c r="R28" s="32">
        <v>1</v>
      </c>
      <c r="S28" s="32">
        <f t="shared" si="2"/>
        <v>28</v>
      </c>
      <c r="T28" s="65">
        <f t="shared" si="3"/>
        <v>45</v>
      </c>
      <c r="U28" s="64">
        <v>8</v>
      </c>
      <c r="V28" s="64"/>
      <c r="W28" s="32">
        <v>632</v>
      </c>
      <c r="X28" s="32">
        <v>110</v>
      </c>
      <c r="Y28" s="232">
        <f>110/(632-80)</f>
        <v>0.19927536231884058</v>
      </c>
      <c r="Z28" s="198"/>
      <c r="AA28" s="25">
        <v>442</v>
      </c>
      <c r="AB28" s="43">
        <f t="shared" si="4"/>
        <v>80</v>
      </c>
    </row>
    <row r="29" spans="1:28" x14ac:dyDescent="0.25">
      <c r="A29" s="155" t="s">
        <v>54</v>
      </c>
      <c r="B29" s="169">
        <v>768</v>
      </c>
      <c r="C29" s="23">
        <v>261</v>
      </c>
      <c r="D29" s="23">
        <v>93</v>
      </c>
      <c r="E29" s="29"/>
      <c r="F29" s="24">
        <f t="shared" si="0"/>
        <v>93</v>
      </c>
      <c r="G29" s="23"/>
      <c r="H29" s="30">
        <v>96</v>
      </c>
      <c r="I29" s="30">
        <v>968</v>
      </c>
      <c r="J29" s="255">
        <f t="shared" si="5"/>
        <v>9.9173553719008267E-2</v>
      </c>
      <c r="K29" s="206"/>
      <c r="L29" s="26"/>
      <c r="M29" s="241">
        <v>1089</v>
      </c>
      <c r="N29" s="198">
        <f>(M29-B29)/B29</f>
        <v>0.41796875</v>
      </c>
      <c r="O29" s="231">
        <v>388</v>
      </c>
      <c r="P29" s="65">
        <f t="shared" si="6"/>
        <v>391.5</v>
      </c>
      <c r="Q29" s="32">
        <v>104</v>
      </c>
      <c r="R29" s="32">
        <v>6</v>
      </c>
      <c r="S29" s="32">
        <f t="shared" si="2"/>
        <v>110</v>
      </c>
      <c r="T29" s="65">
        <f t="shared" si="3"/>
        <v>139.5</v>
      </c>
      <c r="U29" s="64">
        <v>15</v>
      </c>
      <c r="V29" s="64"/>
      <c r="W29" s="32">
        <v>1242</v>
      </c>
      <c r="X29" s="32">
        <v>224</v>
      </c>
      <c r="Y29" s="232">
        <f>224/(1242-296)</f>
        <v>0.23678646934460887</v>
      </c>
      <c r="Z29" s="198"/>
      <c r="AA29" s="25">
        <v>722</v>
      </c>
      <c r="AB29" s="43">
        <f t="shared" si="4"/>
        <v>296</v>
      </c>
    </row>
    <row r="30" spans="1:28" x14ac:dyDescent="0.25">
      <c r="A30" s="155" t="s">
        <v>55</v>
      </c>
      <c r="B30" s="169">
        <v>744</v>
      </c>
      <c r="C30" s="23">
        <v>352</v>
      </c>
      <c r="D30" s="23">
        <v>60</v>
      </c>
      <c r="E30" s="29">
        <v>1</v>
      </c>
      <c r="F30" s="24">
        <f t="shared" si="0"/>
        <v>61</v>
      </c>
      <c r="G30" s="23">
        <v>35</v>
      </c>
      <c r="H30" s="30">
        <v>36</v>
      </c>
      <c r="I30" s="30">
        <v>487</v>
      </c>
      <c r="J30" s="255">
        <f t="shared" si="5"/>
        <v>7.3921971252566734E-2</v>
      </c>
      <c r="K30" s="206"/>
      <c r="L30" s="26"/>
      <c r="M30" s="241">
        <v>826</v>
      </c>
      <c r="N30" s="198">
        <f>(M30-B30)/B30</f>
        <v>0.11021505376344086</v>
      </c>
      <c r="O30" s="231">
        <v>387</v>
      </c>
      <c r="P30" s="65">
        <f t="shared" si="6"/>
        <v>528</v>
      </c>
      <c r="Q30" s="32">
        <v>37</v>
      </c>
      <c r="R30" s="32">
        <v>0</v>
      </c>
      <c r="S30" s="32">
        <f t="shared" si="2"/>
        <v>37</v>
      </c>
      <c r="T30" s="65">
        <f t="shared" si="3"/>
        <v>91.5</v>
      </c>
      <c r="U30" s="64">
        <v>16</v>
      </c>
      <c r="V30" s="64"/>
      <c r="W30" s="32">
        <v>584</v>
      </c>
      <c r="X30" s="32">
        <v>69</v>
      </c>
      <c r="Y30" s="232">
        <f>69/(584-208)</f>
        <v>0.18351063829787234</v>
      </c>
      <c r="Z30" s="198"/>
      <c r="AA30" s="25">
        <v>307</v>
      </c>
      <c r="AB30" s="43">
        <f t="shared" si="4"/>
        <v>208</v>
      </c>
    </row>
    <row r="31" spans="1:28" x14ac:dyDescent="0.25">
      <c r="A31" s="155" t="s">
        <v>56</v>
      </c>
      <c r="B31" s="169">
        <v>328</v>
      </c>
      <c r="C31" s="23">
        <v>19</v>
      </c>
      <c r="D31" s="23">
        <v>14</v>
      </c>
      <c r="E31" s="29"/>
      <c r="F31" s="24">
        <f t="shared" si="0"/>
        <v>14</v>
      </c>
      <c r="G31" s="23">
        <v>15</v>
      </c>
      <c r="H31" s="30">
        <v>37</v>
      </c>
      <c r="I31" s="30">
        <v>399</v>
      </c>
      <c r="J31" s="255">
        <f t="shared" si="5"/>
        <v>9.2731829573934832E-2</v>
      </c>
      <c r="K31" s="206"/>
      <c r="L31" s="26"/>
      <c r="M31" s="241">
        <v>446</v>
      </c>
      <c r="N31" s="198">
        <f t="shared" si="1"/>
        <v>0.3597560975609756</v>
      </c>
      <c r="O31" s="228">
        <v>254</v>
      </c>
      <c r="P31" s="40">
        <f t="shared" si="6"/>
        <v>28.5</v>
      </c>
      <c r="Q31" s="36">
        <v>26</v>
      </c>
      <c r="R31" s="36">
        <v>0</v>
      </c>
      <c r="S31" s="36">
        <f t="shared" si="2"/>
        <v>26</v>
      </c>
      <c r="T31" s="40">
        <f t="shared" si="3"/>
        <v>21</v>
      </c>
      <c r="U31" s="64">
        <v>16</v>
      </c>
      <c r="V31" s="64">
        <v>1</v>
      </c>
      <c r="W31" s="32">
        <v>465</v>
      </c>
      <c r="X31" s="32">
        <v>74</v>
      </c>
      <c r="Y31" s="232">
        <f>74/(465-104)</f>
        <v>0.20498614958448755</v>
      </c>
      <c r="Z31" s="198"/>
      <c r="AA31" s="25">
        <v>287</v>
      </c>
      <c r="AB31" s="43">
        <f t="shared" si="4"/>
        <v>104</v>
      </c>
    </row>
    <row r="32" spans="1:28" x14ac:dyDescent="0.25">
      <c r="A32" s="155" t="s">
        <v>57</v>
      </c>
      <c r="B32" s="169">
        <v>1219</v>
      </c>
      <c r="C32" s="23">
        <v>625</v>
      </c>
      <c r="D32" s="23">
        <v>88</v>
      </c>
      <c r="E32" s="29"/>
      <c r="F32" s="24">
        <f t="shared" si="0"/>
        <v>88</v>
      </c>
      <c r="G32" s="23">
        <v>42</v>
      </c>
      <c r="H32" s="30">
        <v>232</v>
      </c>
      <c r="I32" s="30">
        <v>1218</v>
      </c>
      <c r="J32" s="255">
        <f t="shared" si="5"/>
        <v>0.19047619047619047</v>
      </c>
      <c r="K32" s="206"/>
      <c r="L32" s="26"/>
      <c r="M32" s="241">
        <v>1725</v>
      </c>
      <c r="N32" s="198">
        <f t="shared" si="1"/>
        <v>0.41509433962264153</v>
      </c>
      <c r="O32" s="231">
        <v>763</v>
      </c>
      <c r="P32" s="65">
        <f t="shared" si="6"/>
        <v>937.5</v>
      </c>
      <c r="Q32" s="36">
        <v>146</v>
      </c>
      <c r="R32" s="36">
        <v>3</v>
      </c>
      <c r="S32" s="36">
        <f t="shared" si="2"/>
        <v>149</v>
      </c>
      <c r="T32" s="40">
        <f t="shared" si="3"/>
        <v>132</v>
      </c>
      <c r="U32" s="64">
        <v>39</v>
      </c>
      <c r="V32" s="64"/>
      <c r="W32" s="32">
        <v>1175</v>
      </c>
      <c r="X32" s="32">
        <v>373</v>
      </c>
      <c r="Y32" s="232">
        <f>373/(1175-202)</f>
        <v>0.38335046248715315</v>
      </c>
      <c r="Z32" s="198"/>
      <c r="AA32" s="25">
        <v>600</v>
      </c>
      <c r="AB32" s="43">
        <f t="shared" si="4"/>
        <v>202</v>
      </c>
    </row>
    <row r="33" spans="1:28" x14ac:dyDescent="0.25">
      <c r="A33" s="155" t="s">
        <v>58</v>
      </c>
      <c r="B33" s="169">
        <v>400</v>
      </c>
      <c r="C33" s="23">
        <v>210</v>
      </c>
      <c r="D33" s="23">
        <v>28</v>
      </c>
      <c r="E33" s="29">
        <v>2</v>
      </c>
      <c r="F33" s="24">
        <f t="shared" si="0"/>
        <v>30</v>
      </c>
      <c r="G33" s="23">
        <v>1</v>
      </c>
      <c r="H33" s="30">
        <v>24</v>
      </c>
      <c r="I33" s="30">
        <v>575</v>
      </c>
      <c r="J33" s="255">
        <f t="shared" si="5"/>
        <v>4.1739130434782612E-2</v>
      </c>
      <c r="K33" s="206"/>
      <c r="L33" s="26"/>
      <c r="M33" s="241">
        <v>579</v>
      </c>
      <c r="N33" s="198">
        <f t="shared" si="1"/>
        <v>0.44750000000000001</v>
      </c>
      <c r="O33" s="231">
        <v>258</v>
      </c>
      <c r="P33" s="65">
        <f t="shared" si="6"/>
        <v>315</v>
      </c>
      <c r="Q33" s="32">
        <v>24</v>
      </c>
      <c r="R33" s="32">
        <v>2</v>
      </c>
      <c r="S33" s="32">
        <f t="shared" si="2"/>
        <v>26</v>
      </c>
      <c r="T33" s="65">
        <f t="shared" si="3"/>
        <v>45</v>
      </c>
      <c r="U33" s="64">
        <v>5</v>
      </c>
      <c r="V33" s="64"/>
      <c r="W33" s="32">
        <v>714</v>
      </c>
      <c r="X33" s="32">
        <v>61</v>
      </c>
      <c r="Y33" s="232">
        <f>61/(714-169)</f>
        <v>0.11192660550458716</v>
      </c>
      <c r="Z33" s="198"/>
      <c r="AA33" s="25">
        <v>484</v>
      </c>
      <c r="AB33" s="43">
        <f t="shared" si="4"/>
        <v>169</v>
      </c>
    </row>
    <row r="34" spans="1:28" x14ac:dyDescent="0.25">
      <c r="A34" s="155" t="s">
        <v>59</v>
      </c>
      <c r="B34" s="169">
        <v>938</v>
      </c>
      <c r="C34" s="23">
        <v>513</v>
      </c>
      <c r="D34" s="23">
        <v>47</v>
      </c>
      <c r="E34" s="29"/>
      <c r="F34" s="24">
        <f t="shared" si="0"/>
        <v>47</v>
      </c>
      <c r="G34" s="23">
        <v>15</v>
      </c>
      <c r="H34" s="30">
        <v>84</v>
      </c>
      <c r="I34" s="30">
        <v>609</v>
      </c>
      <c r="J34" s="255">
        <f t="shared" si="5"/>
        <v>0.13793103448275862</v>
      </c>
      <c r="K34" s="206"/>
      <c r="L34" s="26"/>
      <c r="M34" s="241">
        <v>1209</v>
      </c>
      <c r="N34" s="198">
        <f t="shared" si="1"/>
        <v>0.28891257995735609</v>
      </c>
      <c r="O34" s="231">
        <v>596</v>
      </c>
      <c r="P34" s="65">
        <f t="shared" si="6"/>
        <v>769.5</v>
      </c>
      <c r="Q34" s="36">
        <v>76</v>
      </c>
      <c r="R34" s="36">
        <v>3</v>
      </c>
      <c r="S34" s="36">
        <f t="shared" si="2"/>
        <v>79</v>
      </c>
      <c r="T34" s="40">
        <f t="shared" si="3"/>
        <v>70.5</v>
      </c>
      <c r="U34" s="64">
        <v>34</v>
      </c>
      <c r="V34" s="64"/>
      <c r="W34" s="32">
        <v>750</v>
      </c>
      <c r="X34" s="32">
        <v>163</v>
      </c>
      <c r="Y34" s="232">
        <f>163/(750-147)</f>
        <v>0.27031509121061359</v>
      </c>
      <c r="Z34" s="198"/>
      <c r="AA34" s="25">
        <v>440</v>
      </c>
      <c r="AB34" s="43">
        <f t="shared" si="4"/>
        <v>147</v>
      </c>
    </row>
    <row r="35" spans="1:28" x14ac:dyDescent="0.25">
      <c r="A35" s="156" t="s">
        <v>280</v>
      </c>
      <c r="B35" s="170">
        <v>11</v>
      </c>
      <c r="C35" s="33">
        <v>1</v>
      </c>
      <c r="D35" s="33">
        <v>1</v>
      </c>
      <c r="E35" s="34"/>
      <c r="F35" s="35">
        <f t="shared" si="0"/>
        <v>1</v>
      </c>
      <c r="G35" s="33"/>
      <c r="H35" s="33">
        <v>70</v>
      </c>
      <c r="I35" s="33">
        <v>341</v>
      </c>
      <c r="J35" s="257">
        <f t="shared" si="5"/>
        <v>0.20527859237536658</v>
      </c>
      <c r="K35" s="206"/>
      <c r="L35" s="26"/>
      <c r="M35" s="241">
        <v>27</v>
      </c>
      <c r="N35" s="198">
        <f t="shared" si="1"/>
        <v>1.4545454545454546</v>
      </c>
      <c r="O35" s="228">
        <v>74</v>
      </c>
      <c r="P35" s="40">
        <v>20</v>
      </c>
      <c r="Q35" s="103">
        <v>23</v>
      </c>
      <c r="R35" s="103">
        <v>0</v>
      </c>
      <c r="S35" s="36">
        <f t="shared" si="2"/>
        <v>23</v>
      </c>
      <c r="T35" s="104">
        <v>20</v>
      </c>
      <c r="U35" s="102">
        <v>10</v>
      </c>
      <c r="V35" s="102"/>
      <c r="W35" s="103">
        <v>950</v>
      </c>
      <c r="X35" s="103">
        <v>450</v>
      </c>
      <c r="Y35" s="233">
        <f>450/(950-98)</f>
        <v>0.528169014084507</v>
      </c>
      <c r="Z35" s="198"/>
      <c r="AA35" s="25">
        <v>402</v>
      </c>
      <c r="AB35" s="43">
        <f t="shared" si="4"/>
        <v>98</v>
      </c>
    </row>
    <row r="36" spans="1:28" x14ac:dyDescent="0.25">
      <c r="A36" s="155" t="s">
        <v>60</v>
      </c>
      <c r="B36" s="169">
        <v>2331</v>
      </c>
      <c r="C36" s="31">
        <v>824</v>
      </c>
      <c r="D36" s="31">
        <v>264</v>
      </c>
      <c r="E36" s="68">
        <v>6</v>
      </c>
      <c r="F36" s="78">
        <f t="shared" ref="F36:F56" si="7">SUM(D36:E36)</f>
        <v>270</v>
      </c>
      <c r="G36" s="31"/>
      <c r="H36" s="31">
        <v>136</v>
      </c>
      <c r="I36" s="31">
        <v>1114</v>
      </c>
      <c r="J36" s="256">
        <f t="shared" si="5"/>
        <v>0.12208258527827648</v>
      </c>
      <c r="K36" s="206"/>
      <c r="L36" s="26"/>
      <c r="M36" s="83">
        <v>2852</v>
      </c>
      <c r="N36" s="198">
        <f t="shared" si="1"/>
        <v>0.2235092235092235</v>
      </c>
      <c r="O36" s="231">
        <v>1028</v>
      </c>
      <c r="P36" s="65">
        <f t="shared" si="6"/>
        <v>1236</v>
      </c>
      <c r="Q36" s="95">
        <v>346</v>
      </c>
      <c r="R36" s="95">
        <v>12</v>
      </c>
      <c r="S36" s="95">
        <f t="shared" si="2"/>
        <v>358</v>
      </c>
      <c r="T36" s="106">
        <f t="shared" si="3"/>
        <v>405</v>
      </c>
      <c r="U36" s="102">
        <v>64</v>
      </c>
      <c r="V36" s="105"/>
      <c r="W36" s="95">
        <v>1150</v>
      </c>
      <c r="X36" s="95">
        <v>239</v>
      </c>
      <c r="Y36" s="236">
        <f>239/(1150-248)</f>
        <v>0.26496674057649666</v>
      </c>
      <c r="Z36" s="263"/>
      <c r="AA36" s="25">
        <v>663</v>
      </c>
      <c r="AB36" s="43">
        <f t="shared" si="4"/>
        <v>248</v>
      </c>
    </row>
    <row r="37" spans="1:28" x14ac:dyDescent="0.25">
      <c r="A37" s="155" t="s">
        <v>285</v>
      </c>
      <c r="B37" s="169">
        <v>554</v>
      </c>
      <c r="C37" s="31">
        <v>366</v>
      </c>
      <c r="D37" s="31">
        <v>79</v>
      </c>
      <c r="E37" s="68">
        <v>1</v>
      </c>
      <c r="F37" s="78">
        <f>SUM(D37:E37)</f>
        <v>80</v>
      </c>
      <c r="G37" s="31">
        <v>10</v>
      </c>
      <c r="H37" s="31">
        <v>62</v>
      </c>
      <c r="I37" s="31">
        <v>780</v>
      </c>
      <c r="J37" s="256">
        <f>H37/I37</f>
        <v>7.9487179487179482E-2</v>
      </c>
      <c r="K37" s="206"/>
      <c r="L37" s="26"/>
      <c r="M37" s="83">
        <v>801</v>
      </c>
      <c r="N37" s="198">
        <f t="shared" si="1"/>
        <v>0.44584837545126355</v>
      </c>
      <c r="O37" s="231">
        <v>481</v>
      </c>
      <c r="P37" s="65">
        <f>(0.5*C37)+C37</f>
        <v>549</v>
      </c>
      <c r="Q37" s="32">
        <v>49</v>
      </c>
      <c r="R37" s="32">
        <v>5</v>
      </c>
      <c r="S37" s="32">
        <f>Q37+R37</f>
        <v>54</v>
      </c>
      <c r="T37" s="65">
        <f>(0.5*F37)+F37</f>
        <v>120</v>
      </c>
      <c r="U37" s="64">
        <v>8</v>
      </c>
      <c r="V37" s="25"/>
      <c r="W37" s="32">
        <v>792</v>
      </c>
      <c r="X37" s="32">
        <v>103</v>
      </c>
      <c r="Y37" s="232">
        <f>103/(792-133)</f>
        <v>0.15629742033383914</v>
      </c>
      <c r="Z37" s="198"/>
      <c r="AA37" s="25">
        <v>556</v>
      </c>
      <c r="AB37" s="43">
        <f t="shared" si="4"/>
        <v>133</v>
      </c>
    </row>
    <row r="38" spans="1:28" x14ac:dyDescent="0.25">
      <c r="A38" s="155" t="s">
        <v>61</v>
      </c>
      <c r="B38" s="169">
        <v>1113</v>
      </c>
      <c r="C38" s="31">
        <v>433</v>
      </c>
      <c r="D38" s="31">
        <v>22</v>
      </c>
      <c r="E38" s="68"/>
      <c r="F38" s="78">
        <f t="shared" si="7"/>
        <v>22</v>
      </c>
      <c r="G38" s="31"/>
      <c r="H38" s="31">
        <v>218</v>
      </c>
      <c r="I38" s="31">
        <v>1500</v>
      </c>
      <c r="J38" s="256">
        <f t="shared" si="5"/>
        <v>0.14533333333333334</v>
      </c>
      <c r="K38" s="206"/>
      <c r="L38" s="26"/>
      <c r="M38" s="83">
        <v>1575</v>
      </c>
      <c r="N38" s="198">
        <f t="shared" si="1"/>
        <v>0.41509433962264153</v>
      </c>
      <c r="O38" s="231">
        <v>556</v>
      </c>
      <c r="P38" s="65">
        <f t="shared" si="6"/>
        <v>649.5</v>
      </c>
      <c r="Q38" s="36">
        <v>56</v>
      </c>
      <c r="R38" s="36">
        <v>3</v>
      </c>
      <c r="S38" s="36">
        <f t="shared" si="2"/>
        <v>59</v>
      </c>
      <c r="T38" s="40">
        <f t="shared" si="3"/>
        <v>33</v>
      </c>
      <c r="U38" s="64">
        <v>35</v>
      </c>
      <c r="V38" s="25"/>
      <c r="W38" s="32">
        <v>1776</v>
      </c>
      <c r="X38" s="32">
        <v>389</v>
      </c>
      <c r="Y38" s="232">
        <f>389/(1776-518)</f>
        <v>0.30922098569157391</v>
      </c>
      <c r="Z38" s="198"/>
      <c r="AA38" s="25">
        <v>869</v>
      </c>
      <c r="AB38" s="43">
        <f t="shared" si="4"/>
        <v>518</v>
      </c>
    </row>
    <row r="39" spans="1:28" x14ac:dyDescent="0.25">
      <c r="A39" s="155" t="s">
        <v>62</v>
      </c>
      <c r="B39" s="169">
        <v>1719</v>
      </c>
      <c r="C39" s="31">
        <v>844</v>
      </c>
      <c r="D39" s="31">
        <v>141</v>
      </c>
      <c r="E39" s="68">
        <v>4</v>
      </c>
      <c r="F39" s="78">
        <f t="shared" si="7"/>
        <v>145</v>
      </c>
      <c r="G39" s="31">
        <v>84</v>
      </c>
      <c r="H39" s="31">
        <v>57</v>
      </c>
      <c r="I39" s="31">
        <v>741</v>
      </c>
      <c r="J39" s="256">
        <f t="shared" si="5"/>
        <v>7.6923076923076927E-2</v>
      </c>
      <c r="K39" s="206"/>
      <c r="L39" s="26"/>
      <c r="M39" s="83">
        <v>1960</v>
      </c>
      <c r="N39" s="198">
        <f t="shared" si="1"/>
        <v>0.14019778941244909</v>
      </c>
      <c r="O39" s="231">
        <v>857</v>
      </c>
      <c r="P39" s="65">
        <f t="shared" si="6"/>
        <v>1266</v>
      </c>
      <c r="Q39" s="32">
        <v>176</v>
      </c>
      <c r="R39" s="32">
        <v>4</v>
      </c>
      <c r="S39" s="32">
        <f t="shared" si="2"/>
        <v>180</v>
      </c>
      <c r="T39" s="65">
        <f t="shared" si="3"/>
        <v>217.5</v>
      </c>
      <c r="U39" s="25">
        <v>96</v>
      </c>
      <c r="V39" s="25"/>
      <c r="W39" s="32">
        <v>878</v>
      </c>
      <c r="X39" s="32">
        <v>154</v>
      </c>
      <c r="Y39" s="232">
        <f>154/(878-326)</f>
        <v>0.27898550724637683</v>
      </c>
      <c r="Z39" s="198"/>
      <c r="AA39" s="25">
        <v>398</v>
      </c>
      <c r="AB39" s="43">
        <f t="shared" si="4"/>
        <v>326</v>
      </c>
    </row>
    <row r="40" spans="1:28" x14ac:dyDescent="0.25">
      <c r="A40" s="155" t="s">
        <v>63</v>
      </c>
      <c r="B40" s="169">
        <v>279</v>
      </c>
      <c r="C40" s="31">
        <v>169</v>
      </c>
      <c r="D40" s="31">
        <v>19</v>
      </c>
      <c r="E40" s="68"/>
      <c r="F40" s="78">
        <f t="shared" si="7"/>
        <v>19</v>
      </c>
      <c r="G40" s="31"/>
      <c r="H40" s="31">
        <v>24</v>
      </c>
      <c r="I40" s="31">
        <v>351</v>
      </c>
      <c r="J40" s="256">
        <f t="shared" si="5"/>
        <v>6.8376068376068383E-2</v>
      </c>
      <c r="K40" s="206"/>
      <c r="L40" s="26"/>
      <c r="M40" s="83">
        <v>490</v>
      </c>
      <c r="N40" s="198">
        <f>(M40-B40)/B40</f>
        <v>0.75627240143369179</v>
      </c>
      <c r="O40" s="231">
        <v>233</v>
      </c>
      <c r="P40" s="65">
        <f t="shared" si="6"/>
        <v>253.5</v>
      </c>
      <c r="Q40" s="36">
        <v>53</v>
      </c>
      <c r="R40" s="36">
        <v>1</v>
      </c>
      <c r="S40" s="36">
        <f t="shared" si="2"/>
        <v>54</v>
      </c>
      <c r="T40" s="40">
        <f t="shared" si="3"/>
        <v>28.5</v>
      </c>
      <c r="U40" s="25">
        <v>7</v>
      </c>
      <c r="V40" s="105"/>
      <c r="W40" s="32">
        <v>450</v>
      </c>
      <c r="X40" s="32">
        <v>72</v>
      </c>
      <c r="Y40" s="232">
        <f>72/(450-110)</f>
        <v>0.21176470588235294</v>
      </c>
      <c r="Z40" s="198"/>
      <c r="AA40" s="25">
        <v>268</v>
      </c>
      <c r="AB40" s="43">
        <f t="shared" si="4"/>
        <v>110</v>
      </c>
    </row>
    <row r="41" spans="1:28" x14ac:dyDescent="0.25">
      <c r="A41" s="155" t="s">
        <v>64</v>
      </c>
      <c r="B41" s="169">
        <v>205</v>
      </c>
      <c r="C41" s="31">
        <v>122</v>
      </c>
      <c r="D41" s="31">
        <v>12</v>
      </c>
      <c r="E41" s="68"/>
      <c r="F41" s="78">
        <f t="shared" si="7"/>
        <v>12</v>
      </c>
      <c r="G41" s="31"/>
      <c r="H41" s="31">
        <v>15</v>
      </c>
      <c r="I41" s="31">
        <v>227</v>
      </c>
      <c r="J41" s="256">
        <f t="shared" si="5"/>
        <v>6.6079295154185022E-2</v>
      </c>
      <c r="K41" s="206"/>
      <c r="L41" s="26"/>
      <c r="M41" s="83">
        <v>396</v>
      </c>
      <c r="N41" s="198">
        <f>(M41-B41)/B41</f>
        <v>0.93170731707317078</v>
      </c>
      <c r="O41" s="228">
        <v>224</v>
      </c>
      <c r="P41" s="40">
        <f t="shared" si="6"/>
        <v>183</v>
      </c>
      <c r="Q41" s="36">
        <v>16</v>
      </c>
      <c r="R41" s="36">
        <v>2</v>
      </c>
      <c r="S41" s="36">
        <f t="shared" si="2"/>
        <v>18</v>
      </c>
      <c r="T41" s="40">
        <f t="shared" si="3"/>
        <v>18</v>
      </c>
      <c r="U41" s="25">
        <v>3</v>
      </c>
      <c r="V41" s="25"/>
      <c r="W41" s="32">
        <v>253</v>
      </c>
      <c r="X41" s="32">
        <v>26</v>
      </c>
      <c r="Y41" s="232">
        <f>26/(253-42)</f>
        <v>0.12322274881516587</v>
      </c>
      <c r="Z41" s="198"/>
      <c r="AA41" s="25">
        <v>185</v>
      </c>
      <c r="AB41" s="43">
        <f t="shared" si="4"/>
        <v>42</v>
      </c>
    </row>
    <row r="42" spans="1:28" x14ac:dyDescent="0.25">
      <c r="A42" s="155" t="s">
        <v>65</v>
      </c>
      <c r="B42" s="169">
        <v>512</v>
      </c>
      <c r="C42" s="31">
        <v>254</v>
      </c>
      <c r="D42" s="31">
        <v>59</v>
      </c>
      <c r="E42" s="68"/>
      <c r="F42" s="78">
        <f t="shared" si="7"/>
        <v>59</v>
      </c>
      <c r="G42" s="31"/>
      <c r="H42" s="31">
        <v>33</v>
      </c>
      <c r="I42" s="31">
        <v>461</v>
      </c>
      <c r="J42" s="256">
        <f t="shared" si="5"/>
        <v>7.1583514099783085E-2</v>
      </c>
      <c r="K42" s="206"/>
      <c r="L42" s="26"/>
      <c r="M42" s="83">
        <v>701</v>
      </c>
      <c r="N42" s="198">
        <f>(M42-B42)/B42</f>
        <v>0.369140625</v>
      </c>
      <c r="O42" s="231">
        <v>311</v>
      </c>
      <c r="P42" s="65">
        <f t="shared" si="6"/>
        <v>381</v>
      </c>
      <c r="Q42" s="36">
        <v>115</v>
      </c>
      <c r="R42" s="36">
        <v>2</v>
      </c>
      <c r="S42" s="36">
        <f t="shared" si="2"/>
        <v>117</v>
      </c>
      <c r="T42" s="40">
        <f t="shared" si="3"/>
        <v>88.5</v>
      </c>
      <c r="U42" s="25">
        <v>16</v>
      </c>
      <c r="V42" s="25"/>
      <c r="W42" s="32">
        <v>508</v>
      </c>
      <c r="X42" s="32">
        <v>68</v>
      </c>
      <c r="Y42" s="232">
        <f>68/(508-150)</f>
        <v>0.18994413407821228</v>
      </c>
      <c r="Z42" s="198"/>
      <c r="AA42" s="25">
        <v>290</v>
      </c>
      <c r="AB42" s="43">
        <f t="shared" si="4"/>
        <v>150</v>
      </c>
    </row>
    <row r="43" spans="1:28" x14ac:dyDescent="0.25">
      <c r="A43" s="155" t="s">
        <v>66</v>
      </c>
      <c r="B43" s="169">
        <v>248</v>
      </c>
      <c r="C43" s="31">
        <v>111</v>
      </c>
      <c r="D43" s="31">
        <v>8</v>
      </c>
      <c r="E43" s="68">
        <v>1</v>
      </c>
      <c r="F43" s="78">
        <f t="shared" si="7"/>
        <v>9</v>
      </c>
      <c r="G43" s="31">
        <v>3</v>
      </c>
      <c r="H43" s="31">
        <v>8</v>
      </c>
      <c r="I43" s="31">
        <v>233</v>
      </c>
      <c r="J43" s="256">
        <f t="shared" si="5"/>
        <v>3.4334763948497854E-2</v>
      </c>
      <c r="K43" s="206"/>
      <c r="L43" s="26"/>
      <c r="M43" s="83">
        <v>204</v>
      </c>
      <c r="N43" s="198">
        <f>(M43-B43)/B43</f>
        <v>-0.17741935483870969</v>
      </c>
      <c r="O43" s="231">
        <v>108</v>
      </c>
      <c r="P43" s="65">
        <f t="shared" si="6"/>
        <v>166.5</v>
      </c>
      <c r="Q43" s="32">
        <v>7</v>
      </c>
      <c r="R43" s="32">
        <v>0</v>
      </c>
      <c r="S43" s="32">
        <f t="shared" si="2"/>
        <v>7</v>
      </c>
      <c r="T43" s="65">
        <f t="shared" si="3"/>
        <v>13.5</v>
      </c>
      <c r="U43" s="25">
        <v>4</v>
      </c>
      <c r="V43" s="25"/>
      <c r="W43" s="107">
        <v>280</v>
      </c>
      <c r="X43" s="107">
        <v>14</v>
      </c>
      <c r="Y43" s="234">
        <f>14/(280-58)</f>
        <v>6.3063063063063057E-2</v>
      </c>
      <c r="Z43" s="198"/>
      <c r="AA43" s="25">
        <v>208</v>
      </c>
      <c r="AB43" s="43">
        <f t="shared" si="4"/>
        <v>58</v>
      </c>
    </row>
    <row r="44" spans="1:28" x14ac:dyDescent="0.25">
      <c r="A44" s="155" t="s">
        <v>67</v>
      </c>
      <c r="B44" s="169">
        <v>642</v>
      </c>
      <c r="C44" s="31">
        <v>364</v>
      </c>
      <c r="D44" s="31">
        <v>62</v>
      </c>
      <c r="E44" s="68">
        <v>1</v>
      </c>
      <c r="F44" s="78">
        <f t="shared" si="7"/>
        <v>63</v>
      </c>
      <c r="G44" s="31"/>
      <c r="H44" s="31">
        <v>33</v>
      </c>
      <c r="I44" s="31">
        <v>317</v>
      </c>
      <c r="J44" s="256">
        <f t="shared" si="5"/>
        <v>0.10410094637223975</v>
      </c>
      <c r="K44" s="206"/>
      <c r="L44" s="26"/>
      <c r="M44" s="83">
        <v>903</v>
      </c>
      <c r="N44" s="198">
        <f>(M44-B44)/B44</f>
        <v>0.40654205607476634</v>
      </c>
      <c r="O44" s="231">
        <v>510</v>
      </c>
      <c r="P44" s="65">
        <f t="shared" si="6"/>
        <v>546</v>
      </c>
      <c r="Q44" s="32">
        <v>39</v>
      </c>
      <c r="R44" s="32">
        <v>3</v>
      </c>
      <c r="S44" s="32">
        <f t="shared" si="2"/>
        <v>42</v>
      </c>
      <c r="T44" s="65">
        <f t="shared" si="3"/>
        <v>94.5</v>
      </c>
      <c r="U44" s="25">
        <v>8</v>
      </c>
      <c r="V44" s="25"/>
      <c r="W44" s="32">
        <v>406</v>
      </c>
      <c r="X44" s="32">
        <v>69</v>
      </c>
      <c r="Y44" s="232">
        <f>69/(406-172)</f>
        <v>0.29487179487179488</v>
      </c>
      <c r="Z44" s="198"/>
      <c r="AA44" s="25">
        <v>165</v>
      </c>
      <c r="AB44" s="43">
        <f t="shared" si="4"/>
        <v>172</v>
      </c>
    </row>
    <row r="45" spans="1:28" x14ac:dyDescent="0.25">
      <c r="A45" s="155" t="s">
        <v>68</v>
      </c>
      <c r="B45" s="169">
        <v>399</v>
      </c>
      <c r="C45" s="31">
        <v>252</v>
      </c>
      <c r="D45" s="31">
        <v>16</v>
      </c>
      <c r="E45" s="68"/>
      <c r="F45" s="78">
        <f t="shared" si="7"/>
        <v>16</v>
      </c>
      <c r="G45" s="31"/>
      <c r="H45" s="31">
        <v>15</v>
      </c>
      <c r="I45" s="31">
        <v>326</v>
      </c>
      <c r="J45" s="256">
        <f t="shared" si="5"/>
        <v>4.6012269938650305E-2</v>
      </c>
      <c r="K45" s="206"/>
      <c r="L45" s="26"/>
      <c r="M45" s="83">
        <v>526</v>
      </c>
      <c r="N45" s="198">
        <f t="shared" si="1"/>
        <v>0.31829573934837091</v>
      </c>
      <c r="O45" s="231">
        <v>281</v>
      </c>
      <c r="P45" s="65">
        <f t="shared" si="6"/>
        <v>378</v>
      </c>
      <c r="Q45" s="36">
        <v>35</v>
      </c>
      <c r="R45" s="36">
        <v>0</v>
      </c>
      <c r="S45" s="36">
        <f t="shared" si="2"/>
        <v>35</v>
      </c>
      <c r="T45" s="40">
        <f t="shared" si="3"/>
        <v>24</v>
      </c>
      <c r="U45" s="25">
        <v>8</v>
      </c>
      <c r="V45" s="25"/>
      <c r="W45" s="32">
        <v>348</v>
      </c>
      <c r="X45" s="32">
        <v>43</v>
      </c>
      <c r="Y45" s="232">
        <f>43/(348-84)</f>
        <v>0.16287878787878787</v>
      </c>
      <c r="Z45" s="198"/>
      <c r="AA45" s="25">
        <v>221</v>
      </c>
      <c r="AB45" s="43">
        <f t="shared" si="4"/>
        <v>84</v>
      </c>
    </row>
    <row r="46" spans="1:28" x14ac:dyDescent="0.25">
      <c r="A46" s="155" t="s">
        <v>69</v>
      </c>
      <c r="B46" s="169">
        <v>412</v>
      </c>
      <c r="C46" s="31">
        <v>228</v>
      </c>
      <c r="D46" s="31">
        <v>34</v>
      </c>
      <c r="E46" s="68">
        <v>1</v>
      </c>
      <c r="F46" s="78">
        <f t="shared" si="7"/>
        <v>35</v>
      </c>
      <c r="G46" s="31">
        <v>9</v>
      </c>
      <c r="H46" s="31">
        <v>44</v>
      </c>
      <c r="I46" s="31">
        <v>502</v>
      </c>
      <c r="J46" s="256">
        <f t="shared" si="5"/>
        <v>8.7649402390438252E-2</v>
      </c>
      <c r="K46" s="206"/>
      <c r="L46" s="26"/>
      <c r="M46" s="83">
        <v>561</v>
      </c>
      <c r="N46" s="198">
        <f t="shared" si="1"/>
        <v>0.36165048543689321</v>
      </c>
      <c r="O46" s="231">
        <v>288</v>
      </c>
      <c r="P46" s="65">
        <f t="shared" si="6"/>
        <v>342</v>
      </c>
      <c r="Q46" s="32">
        <v>49</v>
      </c>
      <c r="R46" s="32">
        <v>0</v>
      </c>
      <c r="S46" s="32">
        <f t="shared" si="2"/>
        <v>49</v>
      </c>
      <c r="T46" s="65">
        <f t="shared" si="3"/>
        <v>52.5</v>
      </c>
      <c r="U46" s="25">
        <v>13</v>
      </c>
      <c r="V46" s="25"/>
      <c r="W46" s="32">
        <v>585</v>
      </c>
      <c r="X46" s="32">
        <v>83</v>
      </c>
      <c r="Y46" s="232">
        <f>83/(585-145)</f>
        <v>0.18863636363636363</v>
      </c>
      <c r="Z46" s="198"/>
      <c r="AA46" s="25">
        <v>357</v>
      </c>
      <c r="AB46" s="43">
        <f t="shared" si="4"/>
        <v>145</v>
      </c>
    </row>
    <row r="47" spans="1:28" x14ac:dyDescent="0.25">
      <c r="A47" s="155" t="s">
        <v>70</v>
      </c>
      <c r="B47" s="169">
        <v>952</v>
      </c>
      <c r="C47" s="31">
        <v>529</v>
      </c>
      <c r="D47" s="31">
        <v>105</v>
      </c>
      <c r="E47" s="68">
        <v>8</v>
      </c>
      <c r="F47" s="78">
        <f t="shared" si="7"/>
        <v>113</v>
      </c>
      <c r="G47" s="31"/>
      <c r="H47" s="31">
        <v>46</v>
      </c>
      <c r="I47" s="31">
        <v>584</v>
      </c>
      <c r="J47" s="256">
        <f t="shared" si="5"/>
        <v>7.8767123287671229E-2</v>
      </c>
      <c r="K47" s="206"/>
      <c r="L47" s="26"/>
      <c r="M47" s="83">
        <v>1279</v>
      </c>
      <c r="N47" s="198">
        <f t="shared" si="1"/>
        <v>0.34348739495798319</v>
      </c>
      <c r="O47" s="231">
        <v>663</v>
      </c>
      <c r="P47" s="65">
        <f t="shared" si="6"/>
        <v>793.5</v>
      </c>
      <c r="Q47" s="32">
        <v>92</v>
      </c>
      <c r="R47" s="32">
        <v>1</v>
      </c>
      <c r="S47" s="32">
        <f t="shared" si="2"/>
        <v>93</v>
      </c>
      <c r="T47" s="65">
        <f t="shared" si="3"/>
        <v>169.5</v>
      </c>
      <c r="U47" s="25">
        <v>15</v>
      </c>
      <c r="V47" s="25"/>
      <c r="W47" s="32">
        <v>663</v>
      </c>
      <c r="X47" s="32">
        <v>98</v>
      </c>
      <c r="Y47" s="232">
        <f>98/(663-169)</f>
        <v>0.19838056680161945</v>
      </c>
      <c r="Z47" s="198"/>
      <c r="AA47" s="25">
        <v>396</v>
      </c>
      <c r="AB47" s="43">
        <f t="shared" si="4"/>
        <v>169</v>
      </c>
    </row>
    <row r="48" spans="1:28" x14ac:dyDescent="0.25">
      <c r="A48" s="155" t="s">
        <v>71</v>
      </c>
      <c r="B48" s="169">
        <v>92</v>
      </c>
      <c r="C48" s="31">
        <v>53</v>
      </c>
      <c r="D48" s="31">
        <v>2</v>
      </c>
      <c r="E48" s="68"/>
      <c r="F48" s="78">
        <f t="shared" si="7"/>
        <v>2</v>
      </c>
      <c r="G48" s="31">
        <v>1</v>
      </c>
      <c r="H48" s="31">
        <v>13</v>
      </c>
      <c r="I48" s="31">
        <v>151</v>
      </c>
      <c r="J48" s="256">
        <f t="shared" si="5"/>
        <v>8.6092715231788075E-2</v>
      </c>
      <c r="K48" s="206"/>
      <c r="L48" s="26"/>
      <c r="M48" s="83">
        <v>216</v>
      </c>
      <c r="N48" s="198">
        <f t="shared" si="1"/>
        <v>1.3478260869565217</v>
      </c>
      <c r="O48" s="228">
        <v>90</v>
      </c>
      <c r="P48" s="40">
        <f t="shared" si="6"/>
        <v>79.5</v>
      </c>
      <c r="Q48" s="36">
        <v>26</v>
      </c>
      <c r="R48" s="36">
        <v>1</v>
      </c>
      <c r="S48" s="36">
        <f t="shared" si="2"/>
        <v>27</v>
      </c>
      <c r="T48" s="40">
        <f t="shared" si="3"/>
        <v>3</v>
      </c>
      <c r="U48" s="25">
        <v>3</v>
      </c>
      <c r="V48" s="25"/>
      <c r="W48" s="32">
        <v>276</v>
      </c>
      <c r="X48" s="32">
        <v>60</v>
      </c>
      <c r="Y48" s="232">
        <f>60/(276-49)</f>
        <v>0.26431718061674009</v>
      </c>
      <c r="Z48" s="198"/>
      <c r="AA48" s="25">
        <v>167</v>
      </c>
      <c r="AB48" s="43">
        <f t="shared" si="4"/>
        <v>49</v>
      </c>
    </row>
    <row r="49" spans="1:28" x14ac:dyDescent="0.25">
      <c r="A49" s="155" t="s">
        <v>72</v>
      </c>
      <c r="B49" s="169">
        <f>1142+169</f>
        <v>1311</v>
      </c>
      <c r="C49" s="31">
        <v>645</v>
      </c>
      <c r="D49" s="31">
        <v>131</v>
      </c>
      <c r="E49" s="68"/>
      <c r="F49" s="78">
        <f t="shared" si="7"/>
        <v>131</v>
      </c>
      <c r="G49" s="31">
        <v>17</v>
      </c>
      <c r="H49" s="31">
        <v>228</v>
      </c>
      <c r="I49" s="31">
        <v>1216</v>
      </c>
      <c r="J49" s="256">
        <f t="shared" si="5"/>
        <v>0.1875</v>
      </c>
      <c r="K49" s="206"/>
      <c r="L49" s="26"/>
      <c r="M49" s="83">
        <v>1937</v>
      </c>
      <c r="N49" s="198">
        <f t="shared" si="1"/>
        <v>0.47749809305873381</v>
      </c>
      <c r="O49" s="231">
        <v>892</v>
      </c>
      <c r="P49" s="65">
        <f t="shared" si="6"/>
        <v>967.5</v>
      </c>
      <c r="Q49" s="36">
        <v>205</v>
      </c>
      <c r="R49" s="36">
        <v>3</v>
      </c>
      <c r="S49" s="36">
        <f t="shared" si="2"/>
        <v>208</v>
      </c>
      <c r="T49" s="40">
        <f t="shared" si="3"/>
        <v>196.5</v>
      </c>
      <c r="U49" s="25">
        <v>29</v>
      </c>
      <c r="V49" s="25"/>
      <c r="W49" s="32">
        <v>1479</v>
      </c>
      <c r="X49" s="32">
        <v>396</v>
      </c>
      <c r="Y49" s="232">
        <f>396/(1479-324)</f>
        <v>0.34285714285714286</v>
      </c>
      <c r="Z49" s="198"/>
      <c r="AA49" s="25">
        <v>759</v>
      </c>
      <c r="AB49" s="43">
        <f t="shared" si="4"/>
        <v>324</v>
      </c>
    </row>
    <row r="50" spans="1:28" ht="16.5" thickBot="1" x14ac:dyDescent="0.3">
      <c r="A50" s="155" t="s">
        <v>73</v>
      </c>
      <c r="B50" s="169">
        <v>975</v>
      </c>
      <c r="C50" s="31">
        <v>410</v>
      </c>
      <c r="D50" s="31">
        <v>59</v>
      </c>
      <c r="E50" s="68">
        <v>2</v>
      </c>
      <c r="F50" s="78">
        <f t="shared" si="7"/>
        <v>61</v>
      </c>
      <c r="G50" s="31">
        <v>16</v>
      </c>
      <c r="H50" s="31">
        <v>65</v>
      </c>
      <c r="I50" s="31">
        <v>641</v>
      </c>
      <c r="J50" s="256">
        <f t="shared" si="5"/>
        <v>0.10140405616224649</v>
      </c>
      <c r="K50" s="206"/>
      <c r="L50" s="26"/>
      <c r="M50" s="96">
        <v>1601</v>
      </c>
      <c r="N50" s="199">
        <f t="shared" si="1"/>
        <v>0.64205128205128204</v>
      </c>
      <c r="O50" s="243">
        <v>538</v>
      </c>
      <c r="P50" s="108">
        <f t="shared" si="6"/>
        <v>615</v>
      </c>
      <c r="Q50" s="63">
        <v>239</v>
      </c>
      <c r="R50" s="63">
        <v>2</v>
      </c>
      <c r="S50" s="63">
        <f t="shared" si="2"/>
        <v>241</v>
      </c>
      <c r="T50" s="62">
        <f t="shared" si="3"/>
        <v>91.5</v>
      </c>
      <c r="U50" s="39">
        <v>14</v>
      </c>
      <c r="V50" s="39"/>
      <c r="W50" s="44">
        <v>761</v>
      </c>
      <c r="X50" s="44">
        <v>139</v>
      </c>
      <c r="Y50" s="244">
        <f>139/(761-251)</f>
        <v>0.27254901960784311</v>
      </c>
      <c r="Z50" s="199"/>
      <c r="AA50" s="39">
        <v>371</v>
      </c>
      <c r="AB50" s="45">
        <f t="shared" si="4"/>
        <v>251</v>
      </c>
    </row>
    <row r="51" spans="1:28" x14ac:dyDescent="0.25">
      <c r="A51" s="155" t="s">
        <v>74</v>
      </c>
      <c r="B51" s="59">
        <v>0</v>
      </c>
      <c r="C51" s="31"/>
      <c r="D51" s="31"/>
      <c r="E51" s="68"/>
      <c r="F51" s="78">
        <f t="shared" si="7"/>
        <v>0</v>
      </c>
      <c r="G51" s="31"/>
      <c r="H51" s="31"/>
      <c r="I51" s="31"/>
      <c r="J51" s="256"/>
      <c r="K51" s="206"/>
      <c r="L51" s="26"/>
      <c r="M51" s="189">
        <v>8</v>
      </c>
      <c r="N51" s="192"/>
      <c r="O51" s="225"/>
      <c r="P51" s="226"/>
      <c r="Q51" s="191">
        <v>5</v>
      </c>
      <c r="R51" s="191"/>
      <c r="S51" s="191">
        <f t="shared" si="2"/>
        <v>5</v>
      </c>
      <c r="T51" s="190">
        <f t="shared" si="3"/>
        <v>0</v>
      </c>
      <c r="U51" s="189">
        <v>0</v>
      </c>
      <c r="V51" s="227"/>
      <c r="W51" s="41"/>
      <c r="X51" s="41"/>
      <c r="Y51" s="42">
        <f>AVERAGE(Y3:Y50)</f>
        <v>0.24916511724472248</v>
      </c>
      <c r="Z51" s="205"/>
      <c r="AA51" s="167"/>
      <c r="AB51" s="167"/>
    </row>
    <row r="52" spans="1:28" x14ac:dyDescent="0.25">
      <c r="A52" s="155" t="s">
        <v>75</v>
      </c>
      <c r="B52" s="59">
        <v>91</v>
      </c>
      <c r="C52" s="31"/>
      <c r="D52" s="31">
        <v>5</v>
      </c>
      <c r="E52" s="68"/>
      <c r="F52" s="78">
        <f t="shared" si="7"/>
        <v>5</v>
      </c>
      <c r="G52" s="31"/>
      <c r="H52" s="64"/>
      <c r="I52" s="64"/>
      <c r="J52" s="84"/>
      <c r="K52" s="206"/>
      <c r="L52" s="26"/>
      <c r="M52" s="64">
        <v>137</v>
      </c>
      <c r="N52" s="192">
        <f t="shared" si="1"/>
        <v>0.50549450549450547</v>
      </c>
      <c r="O52" s="151"/>
      <c r="P52" s="38"/>
      <c r="Q52" s="36">
        <v>16</v>
      </c>
      <c r="R52" s="36">
        <v>0</v>
      </c>
      <c r="S52" s="36">
        <f t="shared" si="2"/>
        <v>16</v>
      </c>
      <c r="T52" s="40">
        <f t="shared" si="3"/>
        <v>7.5</v>
      </c>
      <c r="U52" s="25">
        <v>0</v>
      </c>
      <c r="V52" s="43"/>
      <c r="W52" s="41"/>
      <c r="X52" s="41"/>
      <c r="Y52" s="42"/>
      <c r="Z52" s="205"/>
      <c r="AA52" s="167"/>
      <c r="AB52" s="167"/>
    </row>
    <row r="53" spans="1:28" x14ac:dyDescent="0.25">
      <c r="A53" s="156" t="s">
        <v>76</v>
      </c>
      <c r="B53" s="125">
        <v>239</v>
      </c>
      <c r="C53" s="33"/>
      <c r="D53" s="33">
        <v>33</v>
      </c>
      <c r="E53" s="34">
        <v>1</v>
      </c>
      <c r="F53" s="35">
        <f t="shared" si="7"/>
        <v>34</v>
      </c>
      <c r="G53" s="33">
        <v>7</v>
      </c>
      <c r="H53" s="36"/>
      <c r="I53" s="36"/>
      <c r="J53" s="258"/>
      <c r="K53" s="206"/>
      <c r="L53" s="26"/>
      <c r="M53" s="64">
        <v>383</v>
      </c>
      <c r="N53" s="192">
        <f t="shared" si="1"/>
        <v>0.60251046025104604</v>
      </c>
      <c r="O53" s="151"/>
      <c r="P53" s="38"/>
      <c r="Q53" s="36">
        <v>60</v>
      </c>
      <c r="R53" s="36">
        <v>0</v>
      </c>
      <c r="S53" s="36">
        <f t="shared" si="2"/>
        <v>60</v>
      </c>
      <c r="T53" s="40">
        <f t="shared" si="3"/>
        <v>51</v>
      </c>
      <c r="U53" s="64">
        <v>4</v>
      </c>
      <c r="V53" s="84"/>
      <c r="W53" s="41"/>
      <c r="X53" s="41"/>
      <c r="Y53" s="42"/>
      <c r="Z53" s="205"/>
      <c r="AA53" s="167"/>
      <c r="AB53" s="167"/>
    </row>
    <row r="54" spans="1:28" x14ac:dyDescent="0.25">
      <c r="A54" s="156" t="s">
        <v>77</v>
      </c>
      <c r="B54" s="125">
        <v>48</v>
      </c>
      <c r="C54" s="33"/>
      <c r="D54" s="33">
        <v>7</v>
      </c>
      <c r="E54" s="34"/>
      <c r="F54" s="35">
        <f t="shared" si="7"/>
        <v>7</v>
      </c>
      <c r="G54" s="33"/>
      <c r="H54" s="36"/>
      <c r="I54" s="36"/>
      <c r="J54" s="258"/>
      <c r="K54" s="206"/>
      <c r="L54" s="26"/>
      <c r="M54" s="64">
        <v>83</v>
      </c>
      <c r="N54" s="192">
        <f t="shared" si="1"/>
        <v>0.72916666666666663</v>
      </c>
      <c r="O54" s="151"/>
      <c r="P54" s="38"/>
      <c r="Q54" s="36">
        <v>22</v>
      </c>
      <c r="R54" s="36">
        <v>0</v>
      </c>
      <c r="S54" s="36">
        <f t="shared" si="2"/>
        <v>22</v>
      </c>
      <c r="T54" s="40">
        <f t="shared" si="3"/>
        <v>10.5</v>
      </c>
      <c r="U54" s="64">
        <v>1</v>
      </c>
      <c r="V54" s="84"/>
      <c r="W54" s="41"/>
      <c r="X54" s="41"/>
      <c r="Y54" s="42"/>
      <c r="Z54" s="205"/>
      <c r="AA54" s="167"/>
      <c r="AB54" s="167"/>
    </row>
    <row r="55" spans="1:28" x14ac:dyDescent="0.25">
      <c r="A55" s="155" t="s">
        <v>78</v>
      </c>
      <c r="B55" s="59">
        <v>0</v>
      </c>
      <c r="C55" s="31"/>
      <c r="D55" s="31"/>
      <c r="E55" s="68"/>
      <c r="F55" s="78">
        <f t="shared" si="7"/>
        <v>0</v>
      </c>
      <c r="G55" s="31"/>
      <c r="H55" s="64"/>
      <c r="I55" s="64"/>
      <c r="J55" s="84"/>
      <c r="K55" s="206"/>
      <c r="L55" s="26"/>
      <c r="M55" s="64">
        <v>17</v>
      </c>
      <c r="N55" s="192"/>
      <c r="O55" s="151"/>
      <c r="P55" s="79"/>
      <c r="Q55" s="64"/>
      <c r="R55" s="64">
        <v>1</v>
      </c>
      <c r="S55" s="64">
        <f t="shared" si="2"/>
        <v>1</v>
      </c>
      <c r="T55" s="79">
        <f t="shared" si="3"/>
        <v>0</v>
      </c>
      <c r="U55" s="64">
        <v>0</v>
      </c>
      <c r="V55" s="84"/>
      <c r="W55" s="41"/>
      <c r="X55" s="41"/>
      <c r="Y55" s="42"/>
      <c r="Z55" s="205"/>
      <c r="AA55" s="167"/>
      <c r="AB55" s="167"/>
    </row>
    <row r="56" spans="1:28" ht="27" thickBot="1" x14ac:dyDescent="0.3">
      <c r="A56" s="158" t="s">
        <v>79</v>
      </c>
      <c r="B56" s="66">
        <v>14</v>
      </c>
      <c r="C56" s="113"/>
      <c r="D56" s="113">
        <v>4</v>
      </c>
      <c r="E56" s="113"/>
      <c r="F56" s="114">
        <f t="shared" si="7"/>
        <v>4</v>
      </c>
      <c r="G56" s="113"/>
      <c r="H56" s="98"/>
      <c r="I56" s="98"/>
      <c r="J56" s="116"/>
      <c r="K56" s="206"/>
      <c r="L56" s="26"/>
      <c r="M56" s="64">
        <v>25</v>
      </c>
      <c r="N56" s="192">
        <f t="shared" si="1"/>
        <v>0.7857142857142857</v>
      </c>
      <c r="O56" s="152"/>
      <c r="P56" s="110"/>
      <c r="Q56" s="111">
        <v>1</v>
      </c>
      <c r="R56" s="111"/>
      <c r="S56" s="111">
        <f t="shared" si="2"/>
        <v>1</v>
      </c>
      <c r="T56" s="112">
        <f t="shared" si="3"/>
        <v>6</v>
      </c>
      <c r="U56" s="39"/>
      <c r="V56" s="45"/>
      <c r="W56" s="41"/>
      <c r="X56" s="41"/>
      <c r="Y56" s="42"/>
      <c r="Z56" s="205"/>
      <c r="AA56" s="167"/>
      <c r="AB56" s="167"/>
    </row>
    <row r="57" spans="1:28" ht="16.5" thickBot="1" x14ac:dyDescent="0.3">
      <c r="A57" s="46"/>
      <c r="B57" s="171"/>
      <c r="C57" s="47"/>
      <c r="D57" s="47"/>
      <c r="E57" s="47"/>
      <c r="F57" s="48"/>
      <c r="G57" s="47"/>
      <c r="H57" s="49"/>
      <c r="I57" s="49"/>
      <c r="J57" s="50"/>
      <c r="K57" s="185"/>
      <c r="L57" s="26"/>
      <c r="M57" s="56"/>
      <c r="N57" s="197">
        <f>AVERAGE(N3:N56)</f>
        <v>0.522712838430195</v>
      </c>
      <c r="O57" s="41"/>
      <c r="P57" s="128">
        <f t="shared" si="6"/>
        <v>0</v>
      </c>
      <c r="Q57" s="41"/>
      <c r="R57" s="41"/>
      <c r="S57" s="41"/>
      <c r="T57" s="51"/>
      <c r="U57" s="41"/>
      <c r="V57" s="41"/>
      <c r="W57" s="41"/>
      <c r="X57" s="41"/>
      <c r="Y57" s="41"/>
      <c r="Z57" s="58"/>
    </row>
    <row r="58" spans="1:28" ht="23.25" x14ac:dyDescent="0.35">
      <c r="A58" s="157" t="s">
        <v>245</v>
      </c>
      <c r="B58" s="52"/>
      <c r="C58" s="53"/>
      <c r="D58" s="53"/>
      <c r="E58" s="53"/>
      <c r="F58" s="72"/>
      <c r="G58" s="55"/>
      <c r="H58" s="56"/>
      <c r="I58" s="56"/>
      <c r="J58" s="56"/>
      <c r="K58" s="185"/>
      <c r="L58" s="26"/>
      <c r="M58" s="115"/>
      <c r="N58" s="97"/>
      <c r="O58" s="97"/>
      <c r="P58" s="99"/>
      <c r="Q58" s="97"/>
      <c r="R58" s="97"/>
      <c r="S58" s="97"/>
      <c r="T58" s="99"/>
      <c r="U58" s="97"/>
      <c r="V58" s="109"/>
      <c r="W58" s="41"/>
      <c r="X58" s="41"/>
      <c r="Y58" s="41"/>
      <c r="Z58" s="58"/>
    </row>
    <row r="59" spans="1:28" x14ac:dyDescent="0.25">
      <c r="A59" s="155" t="s">
        <v>80</v>
      </c>
      <c r="B59" s="59"/>
      <c r="C59" s="31">
        <v>2</v>
      </c>
      <c r="D59" s="31">
        <v>5</v>
      </c>
      <c r="E59" s="31"/>
      <c r="F59" s="78">
        <f t="shared" ref="F59:F83" si="8">E59+D59</f>
        <v>5</v>
      </c>
      <c r="G59" s="118">
        <v>1</v>
      </c>
      <c r="H59" s="56"/>
      <c r="I59" s="58"/>
      <c r="J59" s="56"/>
      <c r="K59" s="185"/>
      <c r="L59" s="26"/>
      <c r="M59" s="83">
        <v>374</v>
      </c>
      <c r="N59" s="64"/>
      <c r="O59" s="32">
        <v>0</v>
      </c>
      <c r="P59" s="65">
        <f>C59+(C59*0.5)</f>
        <v>3</v>
      </c>
      <c r="Q59" s="36">
        <v>18</v>
      </c>
      <c r="R59" s="36">
        <v>2</v>
      </c>
      <c r="S59" s="36">
        <f>Q59+R59</f>
        <v>20</v>
      </c>
      <c r="T59" s="36">
        <f>F59+(0.5*F59)</f>
        <v>7.5</v>
      </c>
      <c r="U59" s="64">
        <v>1</v>
      </c>
      <c r="V59" s="84"/>
      <c r="W59" s="41"/>
      <c r="X59" s="41"/>
      <c r="Y59" s="41"/>
      <c r="Z59" s="58"/>
    </row>
    <row r="60" spans="1:28" x14ac:dyDescent="0.25">
      <c r="A60" s="155" t="s">
        <v>81</v>
      </c>
      <c r="B60" s="59">
        <v>130</v>
      </c>
      <c r="C60" s="31">
        <v>2</v>
      </c>
      <c r="D60" s="31">
        <v>1</v>
      </c>
      <c r="E60" s="31"/>
      <c r="F60" s="78">
        <f t="shared" si="8"/>
        <v>1</v>
      </c>
      <c r="G60" s="118">
        <v>2</v>
      </c>
      <c r="H60" s="56"/>
      <c r="I60" s="56"/>
      <c r="J60" s="56"/>
      <c r="K60" s="185"/>
      <c r="L60" s="26"/>
      <c r="M60" s="83">
        <v>212</v>
      </c>
      <c r="N60" s="198">
        <f>(M60-B60)/B60</f>
        <v>0.63076923076923075</v>
      </c>
      <c r="O60" s="32">
        <v>1</v>
      </c>
      <c r="P60" s="65">
        <f t="shared" ref="P60:P83" si="9">C60+(C60*0.5)</f>
        <v>3</v>
      </c>
      <c r="Q60" s="36">
        <v>3</v>
      </c>
      <c r="R60" s="36">
        <v>0</v>
      </c>
      <c r="S60" s="36">
        <f t="shared" ref="S60:S83" si="10">Q60+R60</f>
        <v>3</v>
      </c>
      <c r="T60" s="40">
        <f>F60+(F60*0.5)</f>
        <v>1.5</v>
      </c>
      <c r="U60" s="64">
        <v>1</v>
      </c>
      <c r="V60" s="84"/>
      <c r="W60" s="41"/>
      <c r="X60" s="41"/>
      <c r="Y60" s="41"/>
      <c r="Z60" s="58"/>
    </row>
    <row r="61" spans="1:28" x14ac:dyDescent="0.25">
      <c r="A61" s="155" t="s">
        <v>82</v>
      </c>
      <c r="B61" s="59">
        <v>582</v>
      </c>
      <c r="C61" s="31">
        <v>3</v>
      </c>
      <c r="D61" s="31">
        <v>29</v>
      </c>
      <c r="E61" s="31">
        <v>4</v>
      </c>
      <c r="F61" s="78">
        <f t="shared" si="8"/>
        <v>33</v>
      </c>
      <c r="G61" s="118">
        <v>4</v>
      </c>
      <c r="H61" s="56"/>
      <c r="I61" s="56"/>
      <c r="J61" s="56"/>
      <c r="K61" s="185"/>
      <c r="L61" s="26"/>
      <c r="M61" s="83">
        <v>1005</v>
      </c>
      <c r="N61" s="198">
        <f t="shared" ref="N61:N125" si="11">(M61-B61)/B61</f>
        <v>0.72680412371134018</v>
      </c>
      <c r="O61" s="32">
        <v>2</v>
      </c>
      <c r="P61" s="65">
        <f t="shared" si="9"/>
        <v>4.5</v>
      </c>
      <c r="Q61" s="32">
        <v>21</v>
      </c>
      <c r="R61" s="32">
        <v>1</v>
      </c>
      <c r="S61" s="32">
        <f t="shared" si="10"/>
        <v>22</v>
      </c>
      <c r="T61" s="65">
        <f>F61+(F61*0.5)</f>
        <v>49.5</v>
      </c>
      <c r="U61" s="64">
        <v>8</v>
      </c>
      <c r="V61" s="84"/>
      <c r="W61" s="41"/>
      <c r="X61" s="41"/>
      <c r="Y61" s="41"/>
      <c r="Z61" s="58"/>
    </row>
    <row r="62" spans="1:28" x14ac:dyDescent="0.25">
      <c r="A62" s="155" t="s">
        <v>83</v>
      </c>
      <c r="B62" s="59">
        <v>522</v>
      </c>
      <c r="C62" s="31">
        <v>1</v>
      </c>
      <c r="D62" s="31">
        <v>20</v>
      </c>
      <c r="E62" s="31"/>
      <c r="F62" s="78">
        <f t="shared" si="8"/>
        <v>20</v>
      </c>
      <c r="G62" s="118">
        <v>8</v>
      </c>
      <c r="H62" s="56"/>
      <c r="I62" s="56"/>
      <c r="J62" s="56"/>
      <c r="K62" s="185"/>
      <c r="L62" s="26"/>
      <c r="M62" s="83">
        <v>834</v>
      </c>
      <c r="N62" s="198">
        <f t="shared" si="11"/>
        <v>0.5977011494252874</v>
      </c>
      <c r="O62" s="36">
        <v>3</v>
      </c>
      <c r="P62" s="40">
        <f t="shared" si="9"/>
        <v>1.5</v>
      </c>
      <c r="Q62" s="32">
        <v>26</v>
      </c>
      <c r="R62" s="32"/>
      <c r="S62" s="32">
        <f t="shared" si="10"/>
        <v>26</v>
      </c>
      <c r="T62" s="65">
        <f t="shared" ref="T62:T83" si="12">F62+(F62*0.5)</f>
        <v>30</v>
      </c>
      <c r="U62" s="64">
        <v>14</v>
      </c>
      <c r="V62" s="84"/>
      <c r="W62" s="41"/>
      <c r="X62" s="41"/>
      <c r="Y62" s="41"/>
      <c r="Z62" s="58"/>
    </row>
    <row r="63" spans="1:28" x14ac:dyDescent="0.25">
      <c r="A63" s="155" t="s">
        <v>84</v>
      </c>
      <c r="B63" s="59">
        <v>222</v>
      </c>
      <c r="C63" s="31"/>
      <c r="D63" s="31">
        <v>6</v>
      </c>
      <c r="E63" s="31"/>
      <c r="F63" s="78">
        <f t="shared" si="8"/>
        <v>6</v>
      </c>
      <c r="G63" s="118">
        <v>2</v>
      </c>
      <c r="H63" s="56"/>
      <c r="I63" s="56"/>
      <c r="J63" s="56"/>
      <c r="K63" s="185"/>
      <c r="L63" s="26"/>
      <c r="M63" s="83">
        <v>304</v>
      </c>
      <c r="N63" s="198">
        <f t="shared" si="11"/>
        <v>0.36936936936936937</v>
      </c>
      <c r="O63" s="36">
        <v>1</v>
      </c>
      <c r="P63" s="40">
        <f t="shared" si="9"/>
        <v>0</v>
      </c>
      <c r="Q63" s="32">
        <v>5</v>
      </c>
      <c r="R63" s="32">
        <v>0</v>
      </c>
      <c r="S63" s="32">
        <f t="shared" si="10"/>
        <v>5</v>
      </c>
      <c r="T63" s="65">
        <f t="shared" si="12"/>
        <v>9</v>
      </c>
      <c r="U63" s="64">
        <v>1</v>
      </c>
      <c r="V63" s="84"/>
      <c r="W63" s="41"/>
      <c r="X63" s="41"/>
      <c r="Y63" s="41"/>
      <c r="Z63" s="58"/>
    </row>
    <row r="64" spans="1:28" x14ac:dyDescent="0.25">
      <c r="A64" s="155" t="s">
        <v>85</v>
      </c>
      <c r="B64" s="59">
        <v>54</v>
      </c>
      <c r="C64" s="31"/>
      <c r="D64" s="31">
        <v>1</v>
      </c>
      <c r="E64" s="31">
        <v>1</v>
      </c>
      <c r="F64" s="78">
        <f t="shared" si="8"/>
        <v>2</v>
      </c>
      <c r="G64" s="118"/>
      <c r="H64" s="56"/>
      <c r="I64" s="56"/>
      <c r="J64" s="56"/>
      <c r="K64" s="185"/>
      <c r="L64" s="26"/>
      <c r="M64" s="83">
        <v>115</v>
      </c>
      <c r="N64" s="198">
        <f t="shared" si="11"/>
        <v>1.1296296296296295</v>
      </c>
      <c r="O64" s="32">
        <v>0</v>
      </c>
      <c r="P64" s="65">
        <f t="shared" si="9"/>
        <v>0</v>
      </c>
      <c r="Q64" s="32">
        <v>1</v>
      </c>
      <c r="R64" s="32">
        <v>0</v>
      </c>
      <c r="S64" s="32">
        <f t="shared" si="10"/>
        <v>1</v>
      </c>
      <c r="T64" s="65">
        <f t="shared" si="12"/>
        <v>3</v>
      </c>
      <c r="U64" s="64">
        <v>1</v>
      </c>
      <c r="V64" s="84"/>
      <c r="W64" s="41"/>
      <c r="X64" s="41"/>
      <c r="Y64" s="41"/>
      <c r="Z64" s="58"/>
    </row>
    <row r="65" spans="1:26" x14ac:dyDescent="0.25">
      <c r="A65" s="155" t="s">
        <v>86</v>
      </c>
      <c r="B65" s="59">
        <v>134</v>
      </c>
      <c r="C65" s="31"/>
      <c r="D65" s="31">
        <v>2</v>
      </c>
      <c r="E65" s="31"/>
      <c r="F65" s="78">
        <f t="shared" si="8"/>
        <v>2</v>
      </c>
      <c r="G65" s="118"/>
      <c r="H65" s="56"/>
      <c r="I65" s="56"/>
      <c r="J65" s="56"/>
      <c r="K65" s="185"/>
      <c r="L65" s="26"/>
      <c r="M65" s="83">
        <v>257</v>
      </c>
      <c r="N65" s="198">
        <f t="shared" si="11"/>
        <v>0.91791044776119401</v>
      </c>
      <c r="O65" s="32">
        <v>0</v>
      </c>
      <c r="P65" s="65">
        <f t="shared" si="9"/>
        <v>0</v>
      </c>
      <c r="Q65" s="36">
        <v>4</v>
      </c>
      <c r="R65" s="36">
        <v>2</v>
      </c>
      <c r="S65" s="36">
        <f t="shared" si="10"/>
        <v>6</v>
      </c>
      <c r="T65" s="40">
        <f t="shared" si="12"/>
        <v>3</v>
      </c>
      <c r="U65" s="64">
        <v>2</v>
      </c>
      <c r="V65" s="84"/>
      <c r="W65" s="41"/>
      <c r="X65" s="41"/>
      <c r="Y65" s="41"/>
      <c r="Z65" s="58"/>
    </row>
    <row r="66" spans="1:26" x14ac:dyDescent="0.25">
      <c r="A66" s="155" t="s">
        <v>87</v>
      </c>
      <c r="B66" s="59">
        <v>81</v>
      </c>
      <c r="C66" s="31"/>
      <c r="D66" s="31">
        <v>2</v>
      </c>
      <c r="E66" s="31"/>
      <c r="F66" s="78">
        <f t="shared" si="8"/>
        <v>2</v>
      </c>
      <c r="G66" s="118"/>
      <c r="H66" s="56"/>
      <c r="I66" s="56"/>
      <c r="J66" s="56"/>
      <c r="K66" s="185"/>
      <c r="L66" s="26"/>
      <c r="M66" s="83">
        <v>116</v>
      </c>
      <c r="N66" s="198">
        <f t="shared" si="11"/>
        <v>0.43209876543209874</v>
      </c>
      <c r="O66" s="32">
        <v>0</v>
      </c>
      <c r="P66" s="65">
        <f t="shared" si="9"/>
        <v>0</v>
      </c>
      <c r="Q66" s="32">
        <v>0</v>
      </c>
      <c r="R66" s="32">
        <v>0</v>
      </c>
      <c r="S66" s="32">
        <f t="shared" si="10"/>
        <v>0</v>
      </c>
      <c r="T66" s="65">
        <f t="shared" si="12"/>
        <v>3</v>
      </c>
      <c r="U66" s="64">
        <v>2</v>
      </c>
      <c r="V66" s="84"/>
      <c r="W66" s="41"/>
      <c r="X66" s="41"/>
      <c r="Y66" s="41"/>
      <c r="Z66" s="58"/>
    </row>
    <row r="67" spans="1:26" x14ac:dyDescent="0.25">
      <c r="A67" s="155" t="s">
        <v>286</v>
      </c>
      <c r="B67" s="59"/>
      <c r="C67" s="31"/>
      <c r="D67" s="31">
        <v>1</v>
      </c>
      <c r="E67" s="31"/>
      <c r="F67" s="78">
        <f t="shared" si="8"/>
        <v>1</v>
      </c>
      <c r="G67" s="118"/>
      <c r="H67" s="56"/>
      <c r="I67" s="56"/>
      <c r="J67" s="56"/>
      <c r="K67" s="185"/>
      <c r="L67" s="26"/>
      <c r="M67" s="83">
        <v>125</v>
      </c>
      <c r="N67" s="198"/>
      <c r="O67" s="32">
        <v>0</v>
      </c>
      <c r="P67" s="65">
        <f t="shared" si="9"/>
        <v>0</v>
      </c>
      <c r="Q67" s="36">
        <v>6</v>
      </c>
      <c r="R67" s="36">
        <v>0</v>
      </c>
      <c r="S67" s="36">
        <f t="shared" si="10"/>
        <v>6</v>
      </c>
      <c r="T67" s="40">
        <f t="shared" si="12"/>
        <v>1.5</v>
      </c>
      <c r="U67" s="64">
        <v>2</v>
      </c>
      <c r="V67" s="84"/>
      <c r="W67" s="41"/>
      <c r="X67" s="41"/>
      <c r="Y67" s="41"/>
      <c r="Z67" s="58"/>
    </row>
    <row r="68" spans="1:26" x14ac:dyDescent="0.25">
      <c r="A68" s="155" t="s">
        <v>88</v>
      </c>
      <c r="B68" s="59">
        <v>419</v>
      </c>
      <c r="C68" s="31"/>
      <c r="D68" s="31">
        <v>16</v>
      </c>
      <c r="E68" s="31"/>
      <c r="F68" s="78">
        <f t="shared" si="8"/>
        <v>16</v>
      </c>
      <c r="G68" s="118"/>
      <c r="H68" s="56"/>
      <c r="I68" s="56"/>
      <c r="J68" s="56"/>
      <c r="K68" s="185"/>
      <c r="L68" s="26"/>
      <c r="M68" s="83">
        <v>617</v>
      </c>
      <c r="N68" s="198">
        <f t="shared" si="11"/>
        <v>0.47255369928400953</v>
      </c>
      <c r="O68" s="32">
        <v>0</v>
      </c>
      <c r="P68" s="65">
        <f t="shared" si="9"/>
        <v>0</v>
      </c>
      <c r="Q68" s="32">
        <v>18</v>
      </c>
      <c r="R68" s="32">
        <v>0</v>
      </c>
      <c r="S68" s="32">
        <f t="shared" si="10"/>
        <v>18</v>
      </c>
      <c r="T68" s="65">
        <f t="shared" si="12"/>
        <v>24</v>
      </c>
      <c r="U68" s="64">
        <v>3</v>
      </c>
      <c r="V68" s="84"/>
      <c r="W68" s="41"/>
      <c r="X68" s="41"/>
      <c r="Y68" s="41"/>
      <c r="Z68" s="58"/>
    </row>
    <row r="69" spans="1:26" x14ac:dyDescent="0.25">
      <c r="A69" s="155" t="s">
        <v>89</v>
      </c>
      <c r="B69" s="59">
        <v>753</v>
      </c>
      <c r="C69" s="31"/>
      <c r="D69" s="31">
        <v>24</v>
      </c>
      <c r="E69" s="31">
        <v>1</v>
      </c>
      <c r="F69" s="78">
        <f t="shared" si="8"/>
        <v>25</v>
      </c>
      <c r="G69" s="118">
        <v>10</v>
      </c>
      <c r="H69" s="56"/>
      <c r="I69" s="56"/>
      <c r="J69" s="56"/>
      <c r="K69" s="185"/>
      <c r="L69" s="26"/>
      <c r="M69" s="83">
        <v>1356</v>
      </c>
      <c r="N69" s="198">
        <f t="shared" si="11"/>
        <v>0.80079681274900394</v>
      </c>
      <c r="O69" s="36">
        <v>1</v>
      </c>
      <c r="P69" s="40">
        <f t="shared" si="9"/>
        <v>0</v>
      </c>
      <c r="Q69" s="32">
        <v>25</v>
      </c>
      <c r="R69" s="32">
        <v>0</v>
      </c>
      <c r="S69" s="32">
        <f t="shared" si="10"/>
        <v>25</v>
      </c>
      <c r="T69" s="65">
        <f t="shared" si="12"/>
        <v>37.5</v>
      </c>
      <c r="U69" s="64">
        <v>9</v>
      </c>
      <c r="V69" s="84"/>
      <c r="W69" s="41"/>
      <c r="X69" s="41"/>
      <c r="Y69" s="41"/>
      <c r="Z69" s="58"/>
    </row>
    <row r="70" spans="1:26" x14ac:dyDescent="0.25">
      <c r="A70" s="155" t="s">
        <v>90</v>
      </c>
      <c r="B70" s="59">
        <v>130</v>
      </c>
      <c r="C70" s="31">
        <v>1</v>
      </c>
      <c r="D70" s="31">
        <v>1</v>
      </c>
      <c r="E70" s="31"/>
      <c r="F70" s="78">
        <f t="shared" si="8"/>
        <v>1</v>
      </c>
      <c r="G70" s="118">
        <v>2</v>
      </c>
      <c r="H70" s="56"/>
      <c r="I70" s="56"/>
      <c r="J70" s="56"/>
      <c r="K70" s="185"/>
      <c r="L70" s="26"/>
      <c r="M70" s="83">
        <v>225</v>
      </c>
      <c r="N70" s="198">
        <f t="shared" si="11"/>
        <v>0.73076923076923073</v>
      </c>
      <c r="O70" s="32">
        <v>0</v>
      </c>
      <c r="P70" s="65">
        <f t="shared" si="9"/>
        <v>1.5</v>
      </c>
      <c r="Q70" s="32">
        <v>1</v>
      </c>
      <c r="R70" s="32">
        <v>0</v>
      </c>
      <c r="S70" s="32">
        <f t="shared" si="10"/>
        <v>1</v>
      </c>
      <c r="T70" s="65">
        <f t="shared" si="12"/>
        <v>1.5</v>
      </c>
      <c r="U70" s="64">
        <v>1</v>
      </c>
      <c r="V70" s="84"/>
      <c r="W70" s="41"/>
      <c r="X70" s="41"/>
      <c r="Y70" s="41"/>
      <c r="Z70" s="58"/>
    </row>
    <row r="71" spans="1:26" x14ac:dyDescent="0.25">
      <c r="A71" s="155" t="s">
        <v>91</v>
      </c>
      <c r="B71" s="59">
        <v>366</v>
      </c>
      <c r="C71" s="31">
        <v>1</v>
      </c>
      <c r="D71" s="31">
        <v>13</v>
      </c>
      <c r="E71" s="31"/>
      <c r="F71" s="78">
        <f t="shared" si="8"/>
        <v>13</v>
      </c>
      <c r="G71" s="118">
        <v>6</v>
      </c>
      <c r="H71" s="56"/>
      <c r="I71" s="56"/>
      <c r="J71" s="56"/>
      <c r="K71" s="185"/>
      <c r="L71" s="26"/>
      <c r="M71" s="83">
        <v>696</v>
      </c>
      <c r="N71" s="198">
        <f t="shared" si="11"/>
        <v>0.90163934426229508</v>
      </c>
      <c r="O71" s="32">
        <v>0</v>
      </c>
      <c r="P71" s="65">
        <f t="shared" si="9"/>
        <v>1.5</v>
      </c>
      <c r="Q71" s="36">
        <v>28</v>
      </c>
      <c r="R71" s="36">
        <v>0</v>
      </c>
      <c r="S71" s="36">
        <f t="shared" si="10"/>
        <v>28</v>
      </c>
      <c r="T71" s="40">
        <f t="shared" si="12"/>
        <v>19.5</v>
      </c>
      <c r="U71" s="64">
        <v>2</v>
      </c>
      <c r="V71" s="84"/>
      <c r="W71" s="41"/>
      <c r="X71" s="41"/>
      <c r="Y71" s="41"/>
      <c r="Z71" s="58"/>
    </row>
    <row r="72" spans="1:26" x14ac:dyDescent="0.25">
      <c r="A72" s="156" t="s">
        <v>92</v>
      </c>
      <c r="B72" s="125">
        <v>116</v>
      </c>
      <c r="C72" s="33"/>
      <c r="D72" s="33">
        <v>3</v>
      </c>
      <c r="E72" s="33"/>
      <c r="F72" s="35">
        <f t="shared" si="8"/>
        <v>3</v>
      </c>
      <c r="G72" s="131">
        <v>1</v>
      </c>
      <c r="H72" s="56"/>
      <c r="I72" s="56"/>
      <c r="J72" s="56"/>
      <c r="K72" s="185"/>
      <c r="L72" s="26"/>
      <c r="M72" s="83">
        <v>185</v>
      </c>
      <c r="N72" s="198">
        <f t="shared" si="11"/>
        <v>0.59482758620689657</v>
      </c>
      <c r="O72" s="36">
        <v>1</v>
      </c>
      <c r="P72" s="40">
        <f t="shared" si="9"/>
        <v>0</v>
      </c>
      <c r="Q72" s="36">
        <v>7</v>
      </c>
      <c r="R72" s="36">
        <v>1</v>
      </c>
      <c r="S72" s="36">
        <f t="shared" si="10"/>
        <v>8</v>
      </c>
      <c r="T72" s="40">
        <f t="shared" si="12"/>
        <v>4.5</v>
      </c>
      <c r="U72" s="64">
        <v>2</v>
      </c>
      <c r="V72" s="84"/>
      <c r="W72" s="41"/>
      <c r="X72" s="41"/>
      <c r="Y72" s="41"/>
      <c r="Z72" s="58"/>
    </row>
    <row r="73" spans="1:26" x14ac:dyDescent="0.25">
      <c r="A73" s="156" t="s">
        <v>93</v>
      </c>
      <c r="B73" s="125">
        <v>79</v>
      </c>
      <c r="C73" s="33"/>
      <c r="D73" s="33">
        <v>0</v>
      </c>
      <c r="E73" s="33"/>
      <c r="F73" s="35">
        <f t="shared" si="8"/>
        <v>0</v>
      </c>
      <c r="G73" s="131"/>
      <c r="H73" s="56"/>
      <c r="I73" s="56"/>
      <c r="J73" s="56"/>
      <c r="K73" s="185"/>
      <c r="L73" s="26"/>
      <c r="M73" s="83">
        <v>121</v>
      </c>
      <c r="N73" s="198">
        <f t="shared" si="11"/>
        <v>0.53164556962025311</v>
      </c>
      <c r="O73" s="36">
        <v>1</v>
      </c>
      <c r="P73" s="40">
        <f t="shared" si="9"/>
        <v>0</v>
      </c>
      <c r="Q73" s="36">
        <v>1</v>
      </c>
      <c r="R73" s="36">
        <v>0</v>
      </c>
      <c r="S73" s="36">
        <f t="shared" si="10"/>
        <v>1</v>
      </c>
      <c r="T73" s="40">
        <f t="shared" si="12"/>
        <v>0</v>
      </c>
      <c r="U73" s="64">
        <v>1</v>
      </c>
      <c r="V73" s="84"/>
      <c r="W73" s="41"/>
      <c r="X73" s="41"/>
      <c r="Y73" s="41"/>
      <c r="Z73" s="58"/>
    </row>
    <row r="74" spans="1:26" x14ac:dyDescent="0.25">
      <c r="A74" s="156" t="s">
        <v>94</v>
      </c>
      <c r="B74" s="125">
        <v>378</v>
      </c>
      <c r="C74" s="33"/>
      <c r="D74" s="33">
        <v>6</v>
      </c>
      <c r="E74" s="33"/>
      <c r="F74" s="35">
        <f t="shared" si="8"/>
        <v>6</v>
      </c>
      <c r="G74" s="131">
        <v>3</v>
      </c>
      <c r="H74" s="56"/>
      <c r="I74" s="56"/>
      <c r="J74" s="56"/>
      <c r="K74" s="185"/>
      <c r="L74" s="26"/>
      <c r="M74" s="83">
        <v>712</v>
      </c>
      <c r="N74" s="198">
        <f t="shared" si="11"/>
        <v>0.8835978835978836</v>
      </c>
      <c r="O74" s="36">
        <v>1</v>
      </c>
      <c r="P74" s="40">
        <f t="shared" si="9"/>
        <v>0</v>
      </c>
      <c r="Q74" s="36">
        <v>13</v>
      </c>
      <c r="R74" s="36">
        <v>0</v>
      </c>
      <c r="S74" s="36">
        <f t="shared" si="10"/>
        <v>13</v>
      </c>
      <c r="T74" s="40">
        <f t="shared" si="12"/>
        <v>9</v>
      </c>
      <c r="U74" s="64">
        <v>8</v>
      </c>
      <c r="V74" s="84"/>
      <c r="W74" s="41"/>
      <c r="X74" s="41"/>
      <c r="Y74" s="41"/>
      <c r="Z74" s="58"/>
    </row>
    <row r="75" spans="1:26" x14ac:dyDescent="0.25">
      <c r="A75" s="155" t="s">
        <v>95</v>
      </c>
      <c r="B75" s="59">
        <v>196</v>
      </c>
      <c r="C75" s="31"/>
      <c r="D75" s="31">
        <v>4</v>
      </c>
      <c r="E75" s="31"/>
      <c r="F75" s="78">
        <f t="shared" si="8"/>
        <v>4</v>
      </c>
      <c r="G75" s="118">
        <v>3</v>
      </c>
      <c r="H75" s="56"/>
      <c r="I75" s="56"/>
      <c r="J75" s="56"/>
      <c r="K75" s="185"/>
      <c r="L75" s="26"/>
      <c r="M75" s="83">
        <v>245</v>
      </c>
      <c r="N75" s="198">
        <f t="shared" si="11"/>
        <v>0.25</v>
      </c>
      <c r="O75" s="32">
        <v>0</v>
      </c>
      <c r="P75" s="65">
        <v>0</v>
      </c>
      <c r="Q75" s="32">
        <v>1</v>
      </c>
      <c r="R75" s="32">
        <v>0</v>
      </c>
      <c r="S75" s="32">
        <f t="shared" si="10"/>
        <v>1</v>
      </c>
      <c r="T75" s="65">
        <f>F75+(F75*0.5)</f>
        <v>6</v>
      </c>
      <c r="U75" s="64">
        <v>0</v>
      </c>
      <c r="V75" s="84"/>
      <c r="W75" s="41"/>
      <c r="X75" s="41"/>
      <c r="Y75" s="41"/>
      <c r="Z75" s="58"/>
    </row>
    <row r="76" spans="1:26" x14ac:dyDescent="0.25">
      <c r="A76" s="155" t="s">
        <v>96</v>
      </c>
      <c r="B76" s="59">
        <v>42</v>
      </c>
      <c r="C76" s="31"/>
      <c r="D76" s="31">
        <v>1</v>
      </c>
      <c r="E76" s="31"/>
      <c r="F76" s="78">
        <f t="shared" si="8"/>
        <v>1</v>
      </c>
      <c r="G76" s="118"/>
      <c r="H76" s="56"/>
      <c r="I76" s="56"/>
      <c r="J76" s="56"/>
      <c r="K76" s="185"/>
      <c r="L76" s="26"/>
      <c r="M76" s="83">
        <v>62</v>
      </c>
      <c r="N76" s="198">
        <f t="shared" si="11"/>
        <v>0.47619047619047616</v>
      </c>
      <c r="O76" s="32">
        <v>0</v>
      </c>
      <c r="P76" s="65">
        <f t="shared" si="9"/>
        <v>0</v>
      </c>
      <c r="Q76" s="32">
        <v>1</v>
      </c>
      <c r="R76" s="32">
        <v>0</v>
      </c>
      <c r="S76" s="32">
        <f t="shared" si="10"/>
        <v>1</v>
      </c>
      <c r="T76" s="65">
        <f t="shared" si="12"/>
        <v>1.5</v>
      </c>
      <c r="U76" s="64">
        <v>1</v>
      </c>
      <c r="V76" s="84"/>
      <c r="W76" s="41"/>
      <c r="X76" s="41"/>
      <c r="Y76" s="41"/>
      <c r="Z76" s="58"/>
    </row>
    <row r="77" spans="1:26" x14ac:dyDescent="0.25">
      <c r="A77" s="156" t="s">
        <v>97</v>
      </c>
      <c r="B77" s="125">
        <v>763</v>
      </c>
      <c r="C77" s="33">
        <v>3</v>
      </c>
      <c r="D77" s="33">
        <v>7</v>
      </c>
      <c r="E77" s="33"/>
      <c r="F77" s="35">
        <f t="shared" si="8"/>
        <v>7</v>
      </c>
      <c r="G77" s="131">
        <v>5</v>
      </c>
      <c r="H77" s="56"/>
      <c r="I77" s="56"/>
      <c r="J77" s="56"/>
      <c r="K77" s="185"/>
      <c r="L77" s="26"/>
      <c r="M77" s="83">
        <v>1031</v>
      </c>
      <c r="N77" s="198">
        <f t="shared" si="11"/>
        <v>0.35124508519003933</v>
      </c>
      <c r="O77" s="36">
        <v>5</v>
      </c>
      <c r="P77" s="40">
        <f t="shared" si="9"/>
        <v>4.5</v>
      </c>
      <c r="Q77" s="36">
        <v>16</v>
      </c>
      <c r="R77" s="36">
        <v>0</v>
      </c>
      <c r="S77" s="36">
        <f t="shared" si="10"/>
        <v>16</v>
      </c>
      <c r="T77" s="40">
        <f t="shared" si="12"/>
        <v>10.5</v>
      </c>
      <c r="U77" s="64">
        <v>5</v>
      </c>
      <c r="V77" s="84"/>
      <c r="W77" s="41"/>
      <c r="X77" s="41"/>
      <c r="Y77" s="41"/>
      <c r="Z77" s="58"/>
    </row>
    <row r="78" spans="1:26" x14ac:dyDescent="0.25">
      <c r="A78" s="155" t="s">
        <v>98</v>
      </c>
      <c r="B78" s="59">
        <v>193</v>
      </c>
      <c r="C78" s="31"/>
      <c r="D78" s="31">
        <v>3</v>
      </c>
      <c r="E78" s="31"/>
      <c r="F78" s="78">
        <f t="shared" si="8"/>
        <v>3</v>
      </c>
      <c r="G78" s="118">
        <v>1</v>
      </c>
      <c r="H78" s="56"/>
      <c r="I78" s="56"/>
      <c r="J78" s="56"/>
      <c r="K78" s="185"/>
      <c r="L78" s="26"/>
      <c r="M78" s="83">
        <v>279</v>
      </c>
      <c r="N78" s="198">
        <f t="shared" si="11"/>
        <v>0.44559585492227977</v>
      </c>
      <c r="O78" s="32">
        <v>0</v>
      </c>
      <c r="P78" s="65">
        <f t="shared" si="9"/>
        <v>0</v>
      </c>
      <c r="Q78" s="32">
        <v>3</v>
      </c>
      <c r="R78" s="32">
        <v>0</v>
      </c>
      <c r="S78" s="32">
        <f t="shared" si="10"/>
        <v>3</v>
      </c>
      <c r="T78" s="65">
        <f t="shared" si="12"/>
        <v>4.5</v>
      </c>
      <c r="U78" s="64">
        <v>2</v>
      </c>
      <c r="V78" s="84"/>
      <c r="W78" s="41"/>
      <c r="X78" s="41"/>
      <c r="Y78" s="41"/>
      <c r="Z78" s="58"/>
    </row>
    <row r="79" spans="1:26" x14ac:dyDescent="0.25">
      <c r="A79" s="155" t="s">
        <v>99</v>
      </c>
      <c r="B79" s="59">
        <v>25</v>
      </c>
      <c r="C79" s="31"/>
      <c r="D79" s="31">
        <v>3</v>
      </c>
      <c r="E79" s="31"/>
      <c r="F79" s="78">
        <f t="shared" si="8"/>
        <v>3</v>
      </c>
      <c r="G79" s="118">
        <v>1</v>
      </c>
      <c r="H79" s="56"/>
      <c r="I79" s="56"/>
      <c r="J79" s="56"/>
      <c r="K79" s="185"/>
      <c r="L79" s="26"/>
      <c r="M79" s="83">
        <v>17</v>
      </c>
      <c r="N79" s="198">
        <f t="shared" si="11"/>
        <v>-0.32</v>
      </c>
      <c r="O79" s="32">
        <v>0</v>
      </c>
      <c r="P79" s="65">
        <f t="shared" si="9"/>
        <v>0</v>
      </c>
      <c r="Q79" s="32">
        <v>0</v>
      </c>
      <c r="R79" s="32">
        <v>0</v>
      </c>
      <c r="S79" s="32">
        <f t="shared" si="10"/>
        <v>0</v>
      </c>
      <c r="T79" s="65">
        <f t="shared" si="12"/>
        <v>4.5</v>
      </c>
      <c r="U79" s="64">
        <v>0</v>
      </c>
      <c r="V79" s="84"/>
      <c r="W79" s="41"/>
      <c r="X79" s="41"/>
      <c r="Y79" s="41"/>
      <c r="Z79" s="58"/>
    </row>
    <row r="80" spans="1:26" x14ac:dyDescent="0.25">
      <c r="A80" s="156" t="s">
        <v>100</v>
      </c>
      <c r="B80" s="125">
        <v>34</v>
      </c>
      <c r="C80" s="33"/>
      <c r="D80" s="33">
        <v>3</v>
      </c>
      <c r="E80" s="33"/>
      <c r="F80" s="35">
        <f t="shared" si="8"/>
        <v>3</v>
      </c>
      <c r="G80" s="131">
        <v>2</v>
      </c>
      <c r="H80" s="56"/>
      <c r="I80" s="56"/>
      <c r="J80" s="56"/>
      <c r="K80" s="185"/>
      <c r="L80" s="26"/>
      <c r="M80" s="83">
        <v>81</v>
      </c>
      <c r="N80" s="198">
        <f t="shared" si="11"/>
        <v>1.3823529411764706</v>
      </c>
      <c r="O80" s="36">
        <v>1</v>
      </c>
      <c r="P80" s="40">
        <f t="shared" si="9"/>
        <v>0</v>
      </c>
      <c r="Q80" s="36">
        <v>8</v>
      </c>
      <c r="R80" s="36">
        <v>1</v>
      </c>
      <c r="S80" s="36">
        <f t="shared" si="10"/>
        <v>9</v>
      </c>
      <c r="T80" s="40">
        <f t="shared" si="12"/>
        <v>4.5</v>
      </c>
      <c r="U80" s="64">
        <v>0</v>
      </c>
      <c r="V80" s="84"/>
      <c r="W80" s="41"/>
      <c r="X80" s="41"/>
      <c r="Y80" s="41"/>
      <c r="Z80" s="58"/>
    </row>
    <row r="81" spans="1:26" x14ac:dyDescent="0.25">
      <c r="A81" s="155" t="s">
        <v>101</v>
      </c>
      <c r="B81" s="59">
        <v>45</v>
      </c>
      <c r="C81" s="31"/>
      <c r="D81" s="31">
        <v>6</v>
      </c>
      <c r="E81" s="31"/>
      <c r="F81" s="78">
        <f t="shared" si="8"/>
        <v>6</v>
      </c>
      <c r="G81" s="118">
        <v>4</v>
      </c>
      <c r="H81" s="56"/>
      <c r="I81" s="56"/>
      <c r="J81" s="56"/>
      <c r="K81" s="185"/>
      <c r="L81" s="26"/>
      <c r="M81" s="83">
        <v>130</v>
      </c>
      <c r="N81" s="198">
        <f t="shared" si="11"/>
        <v>1.8888888888888888</v>
      </c>
      <c r="O81" s="32">
        <v>0</v>
      </c>
      <c r="P81" s="65">
        <f t="shared" si="9"/>
        <v>0</v>
      </c>
      <c r="Q81" s="36">
        <v>13</v>
      </c>
      <c r="R81" s="36">
        <v>0</v>
      </c>
      <c r="S81" s="36">
        <f t="shared" si="10"/>
        <v>13</v>
      </c>
      <c r="T81" s="40">
        <f t="shared" si="12"/>
        <v>9</v>
      </c>
      <c r="U81" s="64">
        <v>6</v>
      </c>
      <c r="V81" s="84"/>
      <c r="W81" s="41"/>
      <c r="X81" s="41"/>
      <c r="Y81" s="41"/>
      <c r="Z81" s="58"/>
    </row>
    <row r="82" spans="1:26" x14ac:dyDescent="0.25">
      <c r="A82" s="155" t="s">
        <v>102</v>
      </c>
      <c r="B82" s="59">
        <v>28</v>
      </c>
      <c r="C82" s="31"/>
      <c r="D82" s="31">
        <v>6</v>
      </c>
      <c r="E82" s="31"/>
      <c r="F82" s="78">
        <f t="shared" si="8"/>
        <v>6</v>
      </c>
      <c r="G82" s="118">
        <v>5</v>
      </c>
      <c r="H82" s="56"/>
      <c r="I82" s="56"/>
      <c r="J82" s="56"/>
      <c r="K82" s="185"/>
      <c r="L82" s="26"/>
      <c r="M82" s="83">
        <v>51</v>
      </c>
      <c r="N82" s="198">
        <f t="shared" si="11"/>
        <v>0.8214285714285714</v>
      </c>
      <c r="O82" s="32">
        <v>0</v>
      </c>
      <c r="P82" s="65">
        <f t="shared" si="9"/>
        <v>0</v>
      </c>
      <c r="Q82" s="32">
        <v>1</v>
      </c>
      <c r="R82" s="32">
        <v>0</v>
      </c>
      <c r="S82" s="32">
        <f t="shared" si="10"/>
        <v>1</v>
      </c>
      <c r="T82" s="65">
        <f t="shared" si="12"/>
        <v>9</v>
      </c>
      <c r="U82" s="64">
        <v>1</v>
      </c>
      <c r="V82" s="84"/>
      <c r="W82" s="41"/>
      <c r="X82" s="41"/>
      <c r="Y82" s="41"/>
      <c r="Z82" s="58"/>
    </row>
    <row r="83" spans="1:26" ht="16.5" thickBot="1" x14ac:dyDescent="0.3">
      <c r="A83" s="158" t="s">
        <v>103</v>
      </c>
      <c r="B83" s="66">
        <v>279</v>
      </c>
      <c r="C83" s="113"/>
      <c r="D83" s="113">
        <v>5</v>
      </c>
      <c r="E83" s="113"/>
      <c r="F83" s="120">
        <f t="shared" si="8"/>
        <v>5</v>
      </c>
      <c r="G83" s="119">
        <v>1</v>
      </c>
      <c r="H83" s="56"/>
      <c r="I83" s="56"/>
      <c r="J83" s="56"/>
      <c r="K83" s="185"/>
      <c r="L83" s="26"/>
      <c r="M83" s="96">
        <v>386</v>
      </c>
      <c r="N83" s="199">
        <f t="shared" si="11"/>
        <v>0.38351254480286739</v>
      </c>
      <c r="O83" s="63">
        <v>2</v>
      </c>
      <c r="P83" s="62">
        <f t="shared" si="9"/>
        <v>0</v>
      </c>
      <c r="Q83" s="63">
        <v>38</v>
      </c>
      <c r="R83" s="63">
        <v>0</v>
      </c>
      <c r="S83" s="63">
        <f t="shared" si="10"/>
        <v>38</v>
      </c>
      <c r="T83" s="62">
        <f t="shared" si="12"/>
        <v>7.5</v>
      </c>
      <c r="U83" s="98">
        <v>15</v>
      </c>
      <c r="V83" s="116"/>
      <c r="W83" s="41"/>
      <c r="X83" s="41"/>
      <c r="Y83" s="41"/>
      <c r="Z83" s="58"/>
    </row>
    <row r="84" spans="1:26" x14ac:dyDescent="0.25">
      <c r="A84" s="46"/>
      <c r="B84" s="171"/>
      <c r="C84" s="126"/>
      <c r="D84" s="126"/>
      <c r="E84" s="126"/>
      <c r="F84" s="127"/>
      <c r="G84" s="126"/>
      <c r="H84" s="58"/>
      <c r="I84" s="56"/>
      <c r="J84" s="56"/>
      <c r="K84" s="185"/>
      <c r="L84" s="26"/>
      <c r="M84" s="58"/>
      <c r="N84" s="205"/>
      <c r="O84" s="41"/>
      <c r="P84" s="128"/>
      <c r="Q84" s="41"/>
      <c r="R84" s="41"/>
      <c r="S84" s="58"/>
      <c r="T84" s="51"/>
      <c r="U84" s="41"/>
      <c r="V84" s="41"/>
      <c r="W84" s="41"/>
      <c r="X84" s="41"/>
      <c r="Y84" s="41"/>
      <c r="Z84" s="58"/>
    </row>
    <row r="85" spans="1:26" ht="16.5" thickBot="1" x14ac:dyDescent="0.3">
      <c r="A85" s="46"/>
      <c r="B85" s="171"/>
      <c r="C85" s="47"/>
      <c r="D85" s="47"/>
      <c r="E85" s="47"/>
      <c r="F85" s="48"/>
      <c r="G85" s="47"/>
      <c r="H85" s="56"/>
      <c r="I85" s="56"/>
      <c r="J85" s="56"/>
      <c r="K85" s="185"/>
      <c r="L85" s="26"/>
      <c r="M85" s="58"/>
      <c r="N85" s="205"/>
      <c r="O85" s="41"/>
      <c r="P85" s="51"/>
      <c r="Q85" s="41"/>
      <c r="R85" s="41"/>
      <c r="S85" s="58"/>
      <c r="T85" s="51"/>
      <c r="U85" s="41"/>
      <c r="V85" s="41"/>
      <c r="W85" s="41"/>
      <c r="X85" s="41"/>
      <c r="Y85" s="41"/>
      <c r="Z85" s="58"/>
    </row>
    <row r="86" spans="1:26" ht="23.25" x14ac:dyDescent="0.35">
      <c r="A86" s="157" t="s">
        <v>104</v>
      </c>
      <c r="B86" s="52"/>
      <c r="C86" s="53"/>
      <c r="D86" s="53"/>
      <c r="E86" s="53"/>
      <c r="F86" s="54"/>
      <c r="G86" s="55"/>
      <c r="H86" s="56"/>
      <c r="I86" s="56"/>
      <c r="J86" s="56"/>
      <c r="K86" s="185"/>
      <c r="L86" s="26"/>
      <c r="M86" s="115"/>
      <c r="N86" s="208"/>
      <c r="O86" s="97"/>
      <c r="P86" s="99"/>
      <c r="Q86" s="97"/>
      <c r="R86" s="97"/>
      <c r="S86" s="97"/>
      <c r="T86" s="99"/>
      <c r="U86" s="97"/>
      <c r="V86" s="109"/>
      <c r="W86" s="41"/>
      <c r="X86" s="41"/>
      <c r="Y86" s="41"/>
      <c r="Z86" s="58"/>
    </row>
    <row r="87" spans="1:26" s="14" customFormat="1" ht="23.25" x14ac:dyDescent="0.35">
      <c r="A87" s="204" t="s">
        <v>287</v>
      </c>
      <c r="B87" s="200"/>
      <c r="C87" s="201"/>
      <c r="D87" s="201"/>
      <c r="E87" s="201"/>
      <c r="F87" s="202"/>
      <c r="G87" s="203"/>
      <c r="H87" s="56" t="s">
        <v>270</v>
      </c>
      <c r="I87" s="56"/>
      <c r="J87" s="56"/>
      <c r="K87" s="185"/>
      <c r="L87" s="26"/>
      <c r="M87" s="83">
        <v>19</v>
      </c>
      <c r="N87" s="198"/>
      <c r="O87" s="64"/>
      <c r="P87" s="79"/>
      <c r="Q87" s="64"/>
      <c r="R87" s="64"/>
      <c r="S87" s="64"/>
      <c r="T87" s="79"/>
      <c r="U87" s="64"/>
      <c r="V87" s="84"/>
      <c r="W87" s="41"/>
      <c r="X87" s="41"/>
      <c r="Y87" s="41"/>
      <c r="Z87" s="58"/>
    </row>
    <row r="88" spans="1:26" x14ac:dyDescent="0.25">
      <c r="A88" s="155" t="s">
        <v>105</v>
      </c>
      <c r="B88" s="59">
        <v>171</v>
      </c>
      <c r="C88" s="23">
        <v>62</v>
      </c>
      <c r="D88" s="23">
        <v>44</v>
      </c>
      <c r="E88" s="60"/>
      <c r="F88" s="60">
        <f t="shared" ref="F88:F145" si="13">E88+D88</f>
        <v>44</v>
      </c>
      <c r="G88" s="129"/>
      <c r="H88" s="56"/>
      <c r="I88" s="56"/>
      <c r="J88" s="56"/>
      <c r="K88" s="185"/>
      <c r="L88" s="26"/>
      <c r="M88" s="83">
        <v>174</v>
      </c>
      <c r="N88" s="198">
        <f t="shared" si="11"/>
        <v>1.7543859649122806E-2</v>
      </c>
      <c r="O88" s="32">
        <v>60</v>
      </c>
      <c r="P88" s="65">
        <f>C88+(C88*0.5)</f>
        <v>93</v>
      </c>
      <c r="Q88" s="32">
        <v>20</v>
      </c>
      <c r="R88" s="32">
        <v>0</v>
      </c>
      <c r="S88" s="32">
        <f>Q88+R88</f>
        <v>20</v>
      </c>
      <c r="T88" s="65">
        <f>F88+(F88*0.5)</f>
        <v>66</v>
      </c>
      <c r="U88" s="64">
        <v>0</v>
      </c>
      <c r="V88" s="84">
        <v>9</v>
      </c>
      <c r="W88" s="41"/>
      <c r="X88" s="41"/>
      <c r="Y88" s="41"/>
      <c r="Z88" s="58"/>
    </row>
    <row r="89" spans="1:26" ht="28.5" customHeight="1" x14ac:dyDescent="0.25">
      <c r="A89" s="155" t="s">
        <v>106</v>
      </c>
      <c r="B89" s="59">
        <v>208</v>
      </c>
      <c r="C89" s="23">
        <v>45</v>
      </c>
      <c r="D89" s="23">
        <v>14</v>
      </c>
      <c r="E89" s="23"/>
      <c r="F89" s="60">
        <f t="shared" si="13"/>
        <v>14</v>
      </c>
      <c r="G89" s="61"/>
      <c r="H89" s="56"/>
      <c r="I89" s="56"/>
      <c r="J89" s="56"/>
      <c r="K89" s="185"/>
      <c r="L89" s="26"/>
      <c r="M89" s="83">
        <v>369</v>
      </c>
      <c r="N89" s="198">
        <f t="shared" si="11"/>
        <v>0.77403846153846156</v>
      </c>
      <c r="O89" s="32">
        <f>16+31</f>
        <v>47</v>
      </c>
      <c r="P89" s="65">
        <f t="shared" ref="P89:P145" si="14">C89+(C89*0.5)</f>
        <v>67.5</v>
      </c>
      <c r="Q89" s="36">
        <f>14+27</f>
        <v>41</v>
      </c>
      <c r="R89" s="36">
        <v>0</v>
      </c>
      <c r="S89" s="36">
        <f t="shared" ref="S89:S145" si="15">Q89+R89</f>
        <v>41</v>
      </c>
      <c r="T89" s="40">
        <f t="shared" ref="T89:T152" si="16">F89+(F89*0.5)</f>
        <v>21</v>
      </c>
      <c r="U89" s="64">
        <v>0</v>
      </c>
      <c r="V89" s="84">
        <v>21</v>
      </c>
      <c r="W89" s="41"/>
      <c r="X89" s="41"/>
      <c r="Y89" s="41"/>
      <c r="Z89" s="58"/>
    </row>
    <row r="90" spans="1:26" x14ac:dyDescent="0.25">
      <c r="A90" s="155" t="s">
        <v>107</v>
      </c>
      <c r="B90" s="59">
        <v>230</v>
      </c>
      <c r="C90" s="23">
        <v>44</v>
      </c>
      <c r="D90" s="23">
        <v>85</v>
      </c>
      <c r="E90" s="23"/>
      <c r="F90" s="60">
        <f t="shared" si="13"/>
        <v>85</v>
      </c>
      <c r="G90" s="61"/>
      <c r="H90" s="56"/>
      <c r="I90" s="56"/>
      <c r="J90" s="56"/>
      <c r="K90" s="185"/>
      <c r="L90" s="26"/>
      <c r="M90" s="83">
        <v>485</v>
      </c>
      <c r="N90" s="198">
        <f t="shared" si="11"/>
        <v>1.1086956521739131</v>
      </c>
      <c r="O90" s="36">
        <v>99</v>
      </c>
      <c r="P90" s="40">
        <f t="shared" si="14"/>
        <v>66</v>
      </c>
      <c r="Q90" s="32">
        <v>105</v>
      </c>
      <c r="R90" s="32">
        <v>0</v>
      </c>
      <c r="S90" s="32">
        <f t="shared" si="15"/>
        <v>105</v>
      </c>
      <c r="T90" s="65">
        <f t="shared" si="16"/>
        <v>127.5</v>
      </c>
      <c r="U90" s="64">
        <v>1</v>
      </c>
      <c r="V90" s="84">
        <v>17</v>
      </c>
      <c r="W90" s="41"/>
      <c r="X90" s="41"/>
      <c r="Y90" s="41"/>
      <c r="Z90" s="58"/>
    </row>
    <row r="91" spans="1:26" x14ac:dyDescent="0.25">
      <c r="A91" s="156" t="s">
        <v>108</v>
      </c>
      <c r="B91" s="125">
        <v>77</v>
      </c>
      <c r="C91" s="33">
        <v>28</v>
      </c>
      <c r="D91" s="33"/>
      <c r="E91" s="33"/>
      <c r="F91" s="130">
        <f t="shared" si="13"/>
        <v>0</v>
      </c>
      <c r="G91" s="131"/>
      <c r="H91" s="56"/>
      <c r="I91" s="56"/>
      <c r="J91" s="56"/>
      <c r="K91" s="185"/>
      <c r="L91" s="26"/>
      <c r="M91" s="83">
        <v>196</v>
      </c>
      <c r="N91" s="198">
        <f t="shared" si="11"/>
        <v>1.5454545454545454</v>
      </c>
      <c r="O91" s="36">
        <v>56</v>
      </c>
      <c r="P91" s="40">
        <f t="shared" si="14"/>
        <v>42</v>
      </c>
      <c r="Q91" s="36">
        <v>14</v>
      </c>
      <c r="R91" s="36">
        <v>0</v>
      </c>
      <c r="S91" s="36">
        <f t="shared" si="15"/>
        <v>14</v>
      </c>
      <c r="T91" s="40">
        <f t="shared" si="16"/>
        <v>0</v>
      </c>
      <c r="U91" s="64">
        <v>0</v>
      </c>
      <c r="V91" s="84">
        <v>8</v>
      </c>
      <c r="W91" s="41"/>
      <c r="X91" s="41"/>
      <c r="Y91" s="41"/>
      <c r="Z91" s="58"/>
    </row>
    <row r="92" spans="1:26" x14ac:dyDescent="0.25">
      <c r="A92" s="155" t="s">
        <v>109</v>
      </c>
      <c r="B92" s="59">
        <v>825</v>
      </c>
      <c r="C92" s="23">
        <v>116</v>
      </c>
      <c r="D92" s="23">
        <v>192</v>
      </c>
      <c r="E92" s="23"/>
      <c r="F92" s="60">
        <f t="shared" si="13"/>
        <v>192</v>
      </c>
      <c r="G92" s="61"/>
      <c r="H92" s="56"/>
      <c r="I92" s="56"/>
      <c r="J92" s="56"/>
      <c r="K92" s="185"/>
      <c r="L92" s="26"/>
      <c r="M92" s="83">
        <v>1320</v>
      </c>
      <c r="N92" s="198">
        <f t="shared" si="11"/>
        <v>0.6</v>
      </c>
      <c r="O92" s="32">
        <v>130</v>
      </c>
      <c r="P92" s="65">
        <f t="shared" si="14"/>
        <v>174</v>
      </c>
      <c r="Q92" s="32">
        <v>211</v>
      </c>
      <c r="R92" s="32">
        <v>2</v>
      </c>
      <c r="S92" s="32">
        <f t="shared" si="15"/>
        <v>213</v>
      </c>
      <c r="T92" s="65">
        <f t="shared" si="16"/>
        <v>288</v>
      </c>
      <c r="U92" s="64">
        <v>73</v>
      </c>
      <c r="V92" s="209">
        <v>200</v>
      </c>
      <c r="W92" s="41"/>
      <c r="X92" s="41"/>
      <c r="Y92" s="41"/>
      <c r="Z92" s="58"/>
    </row>
    <row r="93" spans="1:26" x14ac:dyDescent="0.25">
      <c r="A93" s="155" t="s">
        <v>110</v>
      </c>
      <c r="B93" s="59">
        <v>818</v>
      </c>
      <c r="C93" s="23">
        <v>172</v>
      </c>
      <c r="D93" s="23">
        <v>53</v>
      </c>
      <c r="E93" s="23">
        <v>1</v>
      </c>
      <c r="F93" s="60">
        <f t="shared" si="13"/>
        <v>54</v>
      </c>
      <c r="G93" s="61">
        <v>32</v>
      </c>
      <c r="H93" s="56"/>
      <c r="I93" s="56"/>
      <c r="J93" s="56"/>
      <c r="K93" s="185"/>
      <c r="L93" s="26"/>
      <c r="M93" s="83">
        <v>1105</v>
      </c>
      <c r="N93" s="198">
        <f t="shared" si="11"/>
        <v>0.35085574572127137</v>
      </c>
      <c r="O93" s="32">
        <v>249</v>
      </c>
      <c r="P93" s="65">
        <f t="shared" si="14"/>
        <v>258</v>
      </c>
      <c r="Q93" s="36">
        <v>82</v>
      </c>
      <c r="R93" s="36">
        <v>1</v>
      </c>
      <c r="S93" s="36">
        <f t="shared" si="15"/>
        <v>83</v>
      </c>
      <c r="T93" s="40">
        <f t="shared" si="16"/>
        <v>81</v>
      </c>
      <c r="U93" s="64">
        <v>86</v>
      </c>
      <c r="V93" s="209">
        <v>144</v>
      </c>
      <c r="W93" s="41"/>
      <c r="X93" s="41"/>
      <c r="Y93" s="41"/>
      <c r="Z93" s="58"/>
    </row>
    <row r="94" spans="1:26" x14ac:dyDescent="0.25">
      <c r="A94" s="156" t="s">
        <v>111</v>
      </c>
      <c r="B94" s="125">
        <v>265</v>
      </c>
      <c r="C94" s="33">
        <v>73</v>
      </c>
      <c r="D94" s="33"/>
      <c r="E94" s="33"/>
      <c r="F94" s="130">
        <f t="shared" si="13"/>
        <v>0</v>
      </c>
      <c r="G94" s="131"/>
      <c r="H94" s="56"/>
      <c r="I94" s="56"/>
      <c r="J94" s="56"/>
      <c r="K94" s="185"/>
      <c r="L94" s="26"/>
      <c r="M94" s="83">
        <v>754</v>
      </c>
      <c r="N94" s="198">
        <f t="shared" si="11"/>
        <v>1.8452830188679246</v>
      </c>
      <c r="O94" s="36">
        <v>114</v>
      </c>
      <c r="P94" s="40">
        <f t="shared" si="14"/>
        <v>109.5</v>
      </c>
      <c r="Q94" s="36">
        <v>95</v>
      </c>
      <c r="R94" s="36">
        <v>1</v>
      </c>
      <c r="S94" s="36">
        <f t="shared" si="15"/>
        <v>96</v>
      </c>
      <c r="T94" s="40">
        <f t="shared" si="16"/>
        <v>0</v>
      </c>
      <c r="U94" s="64">
        <v>46</v>
      </c>
      <c r="V94" s="84">
        <v>60</v>
      </c>
      <c r="W94" s="41"/>
      <c r="X94" s="41"/>
      <c r="Y94" s="41"/>
      <c r="Z94" s="58"/>
    </row>
    <row r="95" spans="1:26" x14ac:dyDescent="0.25">
      <c r="A95" s="155" t="s">
        <v>259</v>
      </c>
      <c r="B95" s="59">
        <v>0</v>
      </c>
      <c r="C95" s="31"/>
      <c r="D95" s="31"/>
      <c r="E95" s="31"/>
      <c r="F95" s="101"/>
      <c r="G95" s="118"/>
      <c r="H95" s="56" t="s">
        <v>256</v>
      </c>
      <c r="I95" s="56"/>
      <c r="J95" s="56"/>
      <c r="K95" s="185"/>
      <c r="L95" s="26"/>
      <c r="M95" s="83">
        <v>24</v>
      </c>
      <c r="N95" s="198"/>
      <c r="O95" s="64">
        <v>20</v>
      </c>
      <c r="P95" s="79">
        <f t="shared" si="14"/>
        <v>0</v>
      </c>
      <c r="Q95" s="64">
        <v>37</v>
      </c>
      <c r="R95" s="64">
        <v>0</v>
      </c>
      <c r="S95" s="64">
        <f t="shared" si="15"/>
        <v>37</v>
      </c>
      <c r="T95" s="79">
        <f t="shared" si="16"/>
        <v>0</v>
      </c>
      <c r="U95" s="64">
        <v>1</v>
      </c>
      <c r="V95" s="84">
        <v>0</v>
      </c>
      <c r="W95" s="41"/>
      <c r="X95" s="41"/>
      <c r="Y95" s="41"/>
      <c r="Z95" s="58"/>
    </row>
    <row r="96" spans="1:26" s="14" customFormat="1" x14ac:dyDescent="0.25">
      <c r="A96" s="159" t="s">
        <v>260</v>
      </c>
      <c r="B96" s="132">
        <v>0</v>
      </c>
      <c r="C96" s="30"/>
      <c r="D96" s="30"/>
      <c r="E96" s="30"/>
      <c r="F96" s="133"/>
      <c r="G96" s="134"/>
      <c r="H96" s="135" t="s">
        <v>256</v>
      </c>
      <c r="I96" s="135"/>
      <c r="J96" s="135"/>
      <c r="K96" s="185"/>
      <c r="L96" s="26"/>
      <c r="M96" s="83">
        <v>53</v>
      </c>
      <c r="N96" s="198"/>
      <c r="O96" s="64">
        <v>0</v>
      </c>
      <c r="P96" s="79">
        <v>0</v>
      </c>
      <c r="Q96" s="64">
        <v>0</v>
      </c>
      <c r="R96" s="64">
        <v>0</v>
      </c>
      <c r="S96" s="64">
        <v>0</v>
      </c>
      <c r="T96" s="79">
        <v>0</v>
      </c>
      <c r="U96" s="64">
        <v>0</v>
      </c>
      <c r="V96" s="84">
        <v>0</v>
      </c>
      <c r="W96" s="41"/>
      <c r="X96" s="41"/>
      <c r="Y96" s="41"/>
      <c r="Z96" s="58"/>
    </row>
    <row r="97" spans="1:26" x14ac:dyDescent="0.25">
      <c r="A97" s="155" t="s">
        <v>258</v>
      </c>
      <c r="B97" s="59">
        <v>0</v>
      </c>
      <c r="C97" s="31"/>
      <c r="D97" s="31"/>
      <c r="E97" s="31"/>
      <c r="F97" s="101">
        <f t="shared" si="13"/>
        <v>0</v>
      </c>
      <c r="G97" s="118"/>
      <c r="H97" s="56" t="s">
        <v>256</v>
      </c>
      <c r="I97" s="56"/>
      <c r="J97" s="56"/>
      <c r="K97" s="185"/>
      <c r="L97" s="26"/>
      <c r="M97" s="83">
        <v>24</v>
      </c>
      <c r="N97" s="198"/>
      <c r="O97" s="64">
        <v>5</v>
      </c>
      <c r="P97" s="79">
        <f t="shared" si="14"/>
        <v>0</v>
      </c>
      <c r="Q97" s="64">
        <v>1</v>
      </c>
      <c r="R97" s="64">
        <v>0</v>
      </c>
      <c r="S97" s="64">
        <f t="shared" si="15"/>
        <v>1</v>
      </c>
      <c r="T97" s="79">
        <f t="shared" si="16"/>
        <v>0</v>
      </c>
      <c r="U97" s="64">
        <v>0</v>
      </c>
      <c r="V97" s="84">
        <v>0</v>
      </c>
      <c r="W97" s="41"/>
      <c r="X97" s="41"/>
      <c r="Y97" s="41"/>
      <c r="Z97" s="58"/>
    </row>
    <row r="98" spans="1:26" x14ac:dyDescent="0.25">
      <c r="A98" s="155" t="s">
        <v>112</v>
      </c>
      <c r="B98" s="59">
        <v>415</v>
      </c>
      <c r="C98" s="31">
        <v>60</v>
      </c>
      <c r="D98" s="31">
        <v>84</v>
      </c>
      <c r="E98" s="31"/>
      <c r="F98" s="101">
        <f t="shared" si="13"/>
        <v>84</v>
      </c>
      <c r="G98" s="118">
        <v>9</v>
      </c>
      <c r="H98" s="56"/>
      <c r="I98" s="56"/>
      <c r="J98" s="56"/>
      <c r="K98" s="185"/>
      <c r="L98" s="26"/>
      <c r="M98" s="83">
        <v>628</v>
      </c>
      <c r="N98" s="198">
        <f t="shared" si="11"/>
        <v>0.51325301204819274</v>
      </c>
      <c r="O98" s="32">
        <v>75</v>
      </c>
      <c r="P98" s="65">
        <f t="shared" si="14"/>
        <v>90</v>
      </c>
      <c r="Q98" s="32">
        <v>48</v>
      </c>
      <c r="R98" s="32">
        <v>0</v>
      </c>
      <c r="S98" s="32">
        <f t="shared" si="15"/>
        <v>48</v>
      </c>
      <c r="T98" s="65">
        <f t="shared" si="16"/>
        <v>126</v>
      </c>
      <c r="U98" s="64">
        <v>15</v>
      </c>
      <c r="V98" s="209">
        <v>165</v>
      </c>
      <c r="W98" s="41"/>
      <c r="X98" s="41"/>
      <c r="Y98" s="41"/>
      <c r="Z98" s="58"/>
    </row>
    <row r="99" spans="1:26" x14ac:dyDescent="0.25">
      <c r="A99" s="155" t="s">
        <v>113</v>
      </c>
      <c r="B99" s="59">
        <v>273</v>
      </c>
      <c r="C99" s="31">
        <v>48</v>
      </c>
      <c r="D99" s="31">
        <v>43</v>
      </c>
      <c r="E99" s="31"/>
      <c r="F99" s="101">
        <f t="shared" si="13"/>
        <v>43</v>
      </c>
      <c r="G99" s="118">
        <v>10</v>
      </c>
      <c r="H99" s="56"/>
      <c r="I99" s="56"/>
      <c r="J99" s="56"/>
      <c r="K99" s="185"/>
      <c r="L99" s="26"/>
      <c r="M99" s="83">
        <v>401</v>
      </c>
      <c r="N99" s="198">
        <f t="shared" si="11"/>
        <v>0.46886446886446886</v>
      </c>
      <c r="O99" s="32">
        <v>44</v>
      </c>
      <c r="P99" s="65">
        <f t="shared" si="14"/>
        <v>72</v>
      </c>
      <c r="Q99" s="32">
        <v>26</v>
      </c>
      <c r="R99" s="32">
        <v>0</v>
      </c>
      <c r="S99" s="32">
        <f t="shared" si="15"/>
        <v>26</v>
      </c>
      <c r="T99" s="65">
        <f t="shared" si="16"/>
        <v>64.5</v>
      </c>
      <c r="U99" s="64">
        <v>15</v>
      </c>
      <c r="V99" s="209">
        <v>128</v>
      </c>
      <c r="W99" s="41"/>
      <c r="X99" s="41"/>
      <c r="Y99" s="41"/>
      <c r="Z99" s="58"/>
    </row>
    <row r="100" spans="1:26" x14ac:dyDescent="0.25">
      <c r="A100" s="155" t="s">
        <v>114</v>
      </c>
      <c r="B100" s="59">
        <v>26</v>
      </c>
      <c r="C100" s="31">
        <v>5</v>
      </c>
      <c r="D100" s="31">
        <v>9</v>
      </c>
      <c r="E100" s="31"/>
      <c r="F100" s="101">
        <f t="shared" si="13"/>
        <v>9</v>
      </c>
      <c r="G100" s="118"/>
      <c r="H100" s="56"/>
      <c r="I100" s="56"/>
      <c r="J100" s="56"/>
      <c r="K100" s="185"/>
      <c r="L100" s="26"/>
      <c r="M100" s="83">
        <v>63</v>
      </c>
      <c r="N100" s="198">
        <f t="shared" si="11"/>
        <v>1.4230769230769231</v>
      </c>
      <c r="O100" s="32">
        <v>5</v>
      </c>
      <c r="P100" s="65">
        <f t="shared" si="14"/>
        <v>7.5</v>
      </c>
      <c r="Q100" s="32">
        <v>11</v>
      </c>
      <c r="R100" s="32">
        <v>0</v>
      </c>
      <c r="S100" s="32">
        <f t="shared" si="15"/>
        <v>11</v>
      </c>
      <c r="T100" s="65">
        <f t="shared" si="16"/>
        <v>13.5</v>
      </c>
      <c r="U100" s="64">
        <v>5</v>
      </c>
      <c r="V100" s="84">
        <v>3</v>
      </c>
      <c r="W100" s="41"/>
      <c r="X100" s="41"/>
      <c r="Y100" s="41"/>
      <c r="Z100" s="58"/>
    </row>
    <row r="101" spans="1:26" x14ac:dyDescent="0.25">
      <c r="A101" s="155" t="s">
        <v>115</v>
      </c>
      <c r="B101" s="59">
        <v>55</v>
      </c>
      <c r="C101" s="31">
        <v>1</v>
      </c>
      <c r="D101" s="31">
        <v>1</v>
      </c>
      <c r="E101" s="31"/>
      <c r="F101" s="101">
        <f t="shared" si="13"/>
        <v>1</v>
      </c>
      <c r="G101" s="118">
        <v>10</v>
      </c>
      <c r="H101" s="56" t="s">
        <v>288</v>
      </c>
      <c r="I101" s="56"/>
      <c r="J101" s="56"/>
      <c r="K101" s="185"/>
      <c r="L101" s="26"/>
      <c r="M101" s="83">
        <v>10</v>
      </c>
      <c r="N101" s="198"/>
      <c r="O101" s="32">
        <v>0</v>
      </c>
      <c r="P101" s="65">
        <f t="shared" si="14"/>
        <v>1.5</v>
      </c>
      <c r="Q101" s="32">
        <v>1</v>
      </c>
      <c r="R101" s="32">
        <v>0</v>
      </c>
      <c r="S101" s="32">
        <f t="shared" si="15"/>
        <v>1</v>
      </c>
      <c r="T101" s="65">
        <f t="shared" si="16"/>
        <v>1.5</v>
      </c>
      <c r="U101" s="64">
        <v>3</v>
      </c>
      <c r="V101" s="84">
        <v>0</v>
      </c>
      <c r="W101" s="41"/>
      <c r="X101" s="41"/>
      <c r="Y101" s="41"/>
      <c r="Z101" s="58"/>
    </row>
    <row r="102" spans="1:26" x14ac:dyDescent="0.25">
      <c r="A102" s="156" t="s">
        <v>116</v>
      </c>
      <c r="B102" s="125">
        <v>176</v>
      </c>
      <c r="C102" s="33">
        <v>16</v>
      </c>
      <c r="D102" s="33">
        <v>27</v>
      </c>
      <c r="E102" s="33">
        <v>3</v>
      </c>
      <c r="F102" s="130">
        <f t="shared" si="13"/>
        <v>30</v>
      </c>
      <c r="G102" s="131">
        <v>21</v>
      </c>
      <c r="H102" s="56"/>
      <c r="I102" s="56"/>
      <c r="J102" s="56"/>
      <c r="K102" s="185"/>
      <c r="L102" s="26"/>
      <c r="M102" s="83">
        <v>323</v>
      </c>
      <c r="N102" s="198">
        <f t="shared" si="11"/>
        <v>0.83522727272727271</v>
      </c>
      <c r="O102" s="36">
        <v>31</v>
      </c>
      <c r="P102" s="40">
        <f t="shared" si="14"/>
        <v>24</v>
      </c>
      <c r="Q102" s="36">
        <v>48</v>
      </c>
      <c r="R102" s="36">
        <v>0</v>
      </c>
      <c r="S102" s="36">
        <f t="shared" si="15"/>
        <v>48</v>
      </c>
      <c r="T102" s="40">
        <f t="shared" si="16"/>
        <v>45</v>
      </c>
      <c r="U102" s="64">
        <v>11</v>
      </c>
      <c r="V102" s="84">
        <v>28</v>
      </c>
      <c r="W102" s="41"/>
      <c r="X102" s="41"/>
      <c r="Y102" s="41"/>
      <c r="Z102" s="58"/>
    </row>
    <row r="103" spans="1:26" x14ac:dyDescent="0.25">
      <c r="A103" s="155" t="s">
        <v>117</v>
      </c>
      <c r="B103" s="59">
        <v>182</v>
      </c>
      <c r="C103" s="31">
        <v>6</v>
      </c>
      <c r="D103" s="31">
        <v>16</v>
      </c>
      <c r="E103" s="31"/>
      <c r="F103" s="101">
        <f t="shared" si="13"/>
        <v>16</v>
      </c>
      <c r="G103" s="118">
        <v>26</v>
      </c>
      <c r="H103" s="56"/>
      <c r="I103" s="56"/>
      <c r="J103" s="56"/>
      <c r="K103" s="185"/>
      <c r="L103" s="26"/>
      <c r="M103" s="83">
        <v>368</v>
      </c>
      <c r="N103" s="198">
        <f t="shared" si="11"/>
        <v>1.0219780219780219</v>
      </c>
      <c r="O103" s="32">
        <v>2</v>
      </c>
      <c r="P103" s="65">
        <f t="shared" si="14"/>
        <v>9</v>
      </c>
      <c r="Q103" s="36">
        <v>23</v>
      </c>
      <c r="R103" s="36">
        <v>0</v>
      </c>
      <c r="S103" s="36">
        <f t="shared" si="15"/>
        <v>23</v>
      </c>
      <c r="T103" s="40">
        <f t="shared" si="16"/>
        <v>24</v>
      </c>
      <c r="U103" s="64">
        <v>10</v>
      </c>
      <c r="V103" s="84">
        <v>20</v>
      </c>
      <c r="W103" s="41"/>
      <c r="X103" s="41"/>
      <c r="Y103" s="41"/>
      <c r="Z103" s="58"/>
    </row>
    <row r="104" spans="1:26" x14ac:dyDescent="0.25">
      <c r="A104" s="155" t="s">
        <v>118</v>
      </c>
      <c r="B104" s="59">
        <v>235</v>
      </c>
      <c r="C104" s="31">
        <v>6</v>
      </c>
      <c r="D104" s="31">
        <v>88</v>
      </c>
      <c r="E104" s="31">
        <v>1</v>
      </c>
      <c r="F104" s="101">
        <f t="shared" si="13"/>
        <v>89</v>
      </c>
      <c r="G104" s="118">
        <v>20</v>
      </c>
      <c r="H104" s="56"/>
      <c r="I104" s="56"/>
      <c r="J104" s="56"/>
      <c r="K104" s="185"/>
      <c r="L104" s="26"/>
      <c r="M104" s="83">
        <v>370</v>
      </c>
      <c r="N104" s="198">
        <f t="shared" si="11"/>
        <v>0.57446808510638303</v>
      </c>
      <c r="O104" s="36">
        <v>64</v>
      </c>
      <c r="P104" s="40">
        <f t="shared" si="14"/>
        <v>9</v>
      </c>
      <c r="Q104" s="32">
        <v>52</v>
      </c>
      <c r="R104" s="32">
        <v>0</v>
      </c>
      <c r="S104" s="32">
        <f t="shared" si="15"/>
        <v>52</v>
      </c>
      <c r="T104" s="65">
        <f t="shared" si="16"/>
        <v>133.5</v>
      </c>
      <c r="U104" s="64">
        <v>16</v>
      </c>
      <c r="V104" s="84">
        <v>40</v>
      </c>
      <c r="W104" s="41"/>
      <c r="X104" s="41"/>
      <c r="Y104" s="41"/>
      <c r="Z104" s="58"/>
    </row>
    <row r="105" spans="1:26" x14ac:dyDescent="0.25">
      <c r="A105" s="155" t="s">
        <v>119</v>
      </c>
      <c r="B105" s="59">
        <v>155</v>
      </c>
      <c r="C105" s="31">
        <v>25</v>
      </c>
      <c r="D105" s="31">
        <v>51</v>
      </c>
      <c r="E105" s="31"/>
      <c r="F105" s="101">
        <f t="shared" si="13"/>
        <v>51</v>
      </c>
      <c r="G105" s="118"/>
      <c r="H105" s="56"/>
      <c r="I105" s="56"/>
      <c r="J105" s="56"/>
      <c r="K105" s="185"/>
      <c r="L105" s="26"/>
      <c r="M105" s="83">
        <v>231</v>
      </c>
      <c r="N105" s="198">
        <f t="shared" si="11"/>
        <v>0.49032258064516127</v>
      </c>
      <c r="O105" s="36">
        <v>49</v>
      </c>
      <c r="P105" s="40">
        <f t="shared" si="14"/>
        <v>37.5</v>
      </c>
      <c r="Q105" s="32">
        <v>64</v>
      </c>
      <c r="R105" s="32">
        <v>3</v>
      </c>
      <c r="S105" s="32">
        <f t="shared" si="15"/>
        <v>67</v>
      </c>
      <c r="T105" s="65">
        <f t="shared" si="16"/>
        <v>76.5</v>
      </c>
      <c r="U105" s="64">
        <v>5</v>
      </c>
      <c r="V105" s="84">
        <v>2</v>
      </c>
      <c r="W105" s="41"/>
      <c r="X105" s="41"/>
      <c r="Y105" s="41"/>
      <c r="Z105" s="58"/>
    </row>
    <row r="106" spans="1:26" x14ac:dyDescent="0.25">
      <c r="A106" s="155" t="s">
        <v>120</v>
      </c>
      <c r="B106" s="59">
        <v>1</v>
      </c>
      <c r="C106" s="31"/>
      <c r="D106" s="31"/>
      <c r="E106" s="31"/>
      <c r="F106" s="101">
        <f t="shared" si="13"/>
        <v>0</v>
      </c>
      <c r="G106" s="118"/>
      <c r="H106" s="56"/>
      <c r="I106" s="56"/>
      <c r="J106" s="56"/>
      <c r="K106" s="185"/>
      <c r="L106" s="26"/>
      <c r="M106" s="83">
        <v>1</v>
      </c>
      <c r="N106" s="198">
        <f t="shared" si="11"/>
        <v>0</v>
      </c>
      <c r="O106" s="32">
        <v>0</v>
      </c>
      <c r="P106" s="65">
        <f t="shared" si="14"/>
        <v>0</v>
      </c>
      <c r="Q106" s="32">
        <v>0</v>
      </c>
      <c r="R106" s="32">
        <v>0</v>
      </c>
      <c r="S106" s="32">
        <f t="shared" si="15"/>
        <v>0</v>
      </c>
      <c r="T106" s="65">
        <f t="shared" si="16"/>
        <v>0</v>
      </c>
      <c r="U106" s="64">
        <v>0</v>
      </c>
      <c r="V106" s="84">
        <v>0</v>
      </c>
      <c r="W106" s="41" t="s">
        <v>261</v>
      </c>
      <c r="X106" s="41"/>
      <c r="Y106" s="41"/>
      <c r="Z106" s="58"/>
    </row>
    <row r="107" spans="1:26" x14ac:dyDescent="0.25">
      <c r="A107" s="156" t="s">
        <v>121</v>
      </c>
      <c r="B107" s="125">
        <v>25</v>
      </c>
      <c r="C107" s="33">
        <v>7</v>
      </c>
      <c r="D107" s="33"/>
      <c r="E107" s="33"/>
      <c r="F107" s="130">
        <f t="shared" si="13"/>
        <v>0</v>
      </c>
      <c r="G107" s="131">
        <v>2</v>
      </c>
      <c r="H107" s="56"/>
      <c r="I107" s="56"/>
      <c r="J107" s="56"/>
      <c r="K107" s="185"/>
      <c r="L107" s="26"/>
      <c r="M107" s="83">
        <v>44</v>
      </c>
      <c r="N107" s="198">
        <f t="shared" si="11"/>
        <v>0.76</v>
      </c>
      <c r="O107" s="36">
        <v>12</v>
      </c>
      <c r="P107" s="40">
        <f t="shared" si="14"/>
        <v>10.5</v>
      </c>
      <c r="Q107" s="36">
        <v>5</v>
      </c>
      <c r="R107" s="36">
        <v>0</v>
      </c>
      <c r="S107" s="36">
        <f t="shared" si="15"/>
        <v>5</v>
      </c>
      <c r="T107" s="40">
        <f t="shared" si="16"/>
        <v>0</v>
      </c>
      <c r="U107" s="64">
        <v>1</v>
      </c>
      <c r="V107" s="84">
        <v>2</v>
      </c>
      <c r="W107" s="41"/>
      <c r="X107" s="41"/>
      <c r="Y107" s="41"/>
      <c r="Z107" s="58"/>
    </row>
    <row r="108" spans="1:26" x14ac:dyDescent="0.25">
      <c r="A108" s="155" t="s">
        <v>122</v>
      </c>
      <c r="B108" s="59">
        <v>151</v>
      </c>
      <c r="C108" s="31">
        <v>31</v>
      </c>
      <c r="D108" s="31">
        <v>38</v>
      </c>
      <c r="E108" s="31"/>
      <c r="F108" s="101">
        <f t="shared" si="13"/>
        <v>38</v>
      </c>
      <c r="G108" s="118"/>
      <c r="H108" s="56"/>
      <c r="I108" s="56"/>
      <c r="J108" s="56"/>
      <c r="K108" s="185"/>
      <c r="L108" s="26"/>
      <c r="M108" s="83">
        <v>237</v>
      </c>
      <c r="N108" s="198">
        <f t="shared" si="11"/>
        <v>0.56953642384105962</v>
      </c>
      <c r="O108" s="36">
        <v>47</v>
      </c>
      <c r="P108" s="40">
        <f t="shared" si="14"/>
        <v>46.5</v>
      </c>
      <c r="Q108" s="32">
        <v>27</v>
      </c>
      <c r="R108" s="32">
        <v>0</v>
      </c>
      <c r="S108" s="32">
        <f t="shared" si="15"/>
        <v>27</v>
      </c>
      <c r="T108" s="65">
        <f t="shared" si="16"/>
        <v>57</v>
      </c>
      <c r="U108" s="64">
        <v>19</v>
      </c>
      <c r="V108" s="84">
        <v>26</v>
      </c>
      <c r="W108" s="41"/>
      <c r="X108" s="41"/>
      <c r="Y108" s="41"/>
      <c r="Z108" s="58"/>
    </row>
    <row r="109" spans="1:26" s="14" customFormat="1" x14ac:dyDescent="0.25">
      <c r="A109" s="155" t="s">
        <v>289</v>
      </c>
      <c r="B109" s="59">
        <v>0</v>
      </c>
      <c r="C109" s="31"/>
      <c r="D109" s="31"/>
      <c r="E109" s="31"/>
      <c r="F109" s="101"/>
      <c r="G109" s="118"/>
      <c r="H109" s="56" t="s">
        <v>270</v>
      </c>
      <c r="I109" s="56"/>
      <c r="J109" s="56"/>
      <c r="K109" s="185"/>
      <c r="L109" s="26"/>
      <c r="M109" s="83">
        <v>13</v>
      </c>
      <c r="N109" s="198"/>
      <c r="O109" s="36"/>
      <c r="P109" s="40"/>
      <c r="Q109" s="32"/>
      <c r="R109" s="32"/>
      <c r="S109" s="32"/>
      <c r="T109" s="65"/>
      <c r="U109" s="64"/>
      <c r="V109" s="84"/>
      <c r="W109" s="41"/>
      <c r="X109" s="41"/>
      <c r="Y109" s="41"/>
      <c r="Z109" s="58"/>
    </row>
    <row r="110" spans="1:26" x14ac:dyDescent="0.25">
      <c r="A110" s="155" t="s">
        <v>123</v>
      </c>
      <c r="B110" s="59">
        <v>884</v>
      </c>
      <c r="C110" s="31">
        <v>301</v>
      </c>
      <c r="D110" s="31">
        <v>254</v>
      </c>
      <c r="E110" s="31"/>
      <c r="F110" s="101">
        <f t="shared" si="13"/>
        <v>254</v>
      </c>
      <c r="G110" s="118"/>
      <c r="H110" s="56"/>
      <c r="I110" s="56"/>
      <c r="J110" s="56"/>
      <c r="K110" s="185"/>
      <c r="L110" s="26"/>
      <c r="M110" s="83">
        <v>1151</v>
      </c>
      <c r="N110" s="198">
        <f t="shared" si="11"/>
        <v>0.30203619909502261</v>
      </c>
      <c r="O110" s="32">
        <v>400</v>
      </c>
      <c r="P110" s="65">
        <f t="shared" si="14"/>
        <v>451.5</v>
      </c>
      <c r="Q110" s="32">
        <v>255</v>
      </c>
      <c r="R110" s="32">
        <v>1</v>
      </c>
      <c r="S110" s="32">
        <f t="shared" si="15"/>
        <v>256</v>
      </c>
      <c r="T110" s="65">
        <f t="shared" si="16"/>
        <v>381</v>
      </c>
      <c r="U110" s="64">
        <v>45</v>
      </c>
      <c r="V110" s="84">
        <v>19</v>
      </c>
      <c r="W110" s="41"/>
      <c r="X110" s="41"/>
      <c r="Y110" s="41"/>
      <c r="Z110" s="58"/>
    </row>
    <row r="111" spans="1:26" x14ac:dyDescent="0.25">
      <c r="A111" s="155" t="s">
        <v>124</v>
      </c>
      <c r="B111" s="59">
        <v>1129</v>
      </c>
      <c r="C111" s="31">
        <v>315</v>
      </c>
      <c r="D111" s="31">
        <v>272</v>
      </c>
      <c r="E111" s="31">
        <v>1</v>
      </c>
      <c r="F111" s="101">
        <f t="shared" si="13"/>
        <v>273</v>
      </c>
      <c r="G111" s="118">
        <v>44</v>
      </c>
      <c r="H111" s="56"/>
      <c r="I111" s="56"/>
      <c r="J111" s="56"/>
      <c r="K111" s="185"/>
      <c r="L111" s="26"/>
      <c r="M111" s="83">
        <v>1475</v>
      </c>
      <c r="N111" s="198">
        <f t="shared" si="11"/>
        <v>0.30646589902568644</v>
      </c>
      <c r="O111" s="32">
        <v>387</v>
      </c>
      <c r="P111" s="65">
        <f t="shared" si="14"/>
        <v>472.5</v>
      </c>
      <c r="Q111" s="32">
        <v>321</v>
      </c>
      <c r="R111" s="32">
        <v>2</v>
      </c>
      <c r="S111" s="32">
        <f t="shared" si="15"/>
        <v>323</v>
      </c>
      <c r="T111" s="65">
        <f t="shared" si="16"/>
        <v>409.5</v>
      </c>
      <c r="U111" s="64">
        <v>66</v>
      </c>
      <c r="V111" s="84">
        <v>34</v>
      </c>
      <c r="W111" s="41"/>
      <c r="X111" s="41"/>
      <c r="Y111" s="41"/>
      <c r="Z111" s="58"/>
    </row>
    <row r="112" spans="1:26" x14ac:dyDescent="0.25">
      <c r="A112" s="156" t="s">
        <v>125</v>
      </c>
      <c r="B112" s="125">
        <v>629</v>
      </c>
      <c r="C112" s="33">
        <v>96</v>
      </c>
      <c r="D112" s="33">
        <v>74</v>
      </c>
      <c r="E112" s="33">
        <v>1</v>
      </c>
      <c r="F112" s="130">
        <f t="shared" si="13"/>
        <v>75</v>
      </c>
      <c r="G112" s="131">
        <v>11</v>
      </c>
      <c r="H112" s="56"/>
      <c r="I112" s="56"/>
      <c r="J112" s="56"/>
      <c r="K112" s="185"/>
      <c r="L112" s="26"/>
      <c r="M112" s="83">
        <v>859</v>
      </c>
      <c r="N112" s="198">
        <f t="shared" si="11"/>
        <v>0.3656597774244833</v>
      </c>
      <c r="O112" s="36">
        <v>280</v>
      </c>
      <c r="P112" s="40">
        <f t="shared" si="14"/>
        <v>144</v>
      </c>
      <c r="Q112" s="36">
        <v>152</v>
      </c>
      <c r="R112" s="36">
        <v>2</v>
      </c>
      <c r="S112" s="36">
        <f t="shared" si="15"/>
        <v>154</v>
      </c>
      <c r="T112" s="40">
        <f t="shared" si="16"/>
        <v>112.5</v>
      </c>
      <c r="U112" s="64">
        <v>32</v>
      </c>
      <c r="V112" s="84">
        <v>9</v>
      </c>
      <c r="W112" s="41"/>
      <c r="X112" s="41"/>
      <c r="Y112" s="41"/>
      <c r="Z112" s="58"/>
    </row>
    <row r="113" spans="1:26" s="136" customFormat="1" x14ac:dyDescent="0.25">
      <c r="A113" s="155" t="s">
        <v>255</v>
      </c>
      <c r="B113" s="59">
        <v>0</v>
      </c>
      <c r="C113" s="31"/>
      <c r="D113" s="31"/>
      <c r="E113" s="31"/>
      <c r="F113" s="101"/>
      <c r="G113" s="118"/>
      <c r="H113" s="56" t="s">
        <v>256</v>
      </c>
      <c r="I113" s="56"/>
      <c r="J113" s="56"/>
      <c r="K113" s="185"/>
      <c r="L113" s="26"/>
      <c r="M113" s="83">
        <v>7</v>
      </c>
      <c r="N113" s="198"/>
      <c r="O113" s="64">
        <v>1</v>
      </c>
      <c r="P113" s="79">
        <v>1</v>
      </c>
      <c r="Q113" s="64">
        <v>2</v>
      </c>
      <c r="R113" s="64">
        <v>0</v>
      </c>
      <c r="S113" s="64">
        <f t="shared" si="15"/>
        <v>2</v>
      </c>
      <c r="T113" s="79">
        <v>2</v>
      </c>
      <c r="U113" s="64">
        <v>0</v>
      </c>
      <c r="V113" s="84">
        <v>1</v>
      </c>
      <c r="W113" s="58"/>
      <c r="X113" s="58"/>
      <c r="Y113" s="58"/>
      <c r="Z113" s="58"/>
    </row>
    <row r="114" spans="1:26" x14ac:dyDescent="0.25">
      <c r="A114" s="160" t="s">
        <v>257</v>
      </c>
      <c r="B114" s="59">
        <v>0</v>
      </c>
      <c r="C114" s="31"/>
      <c r="D114" s="31"/>
      <c r="E114" s="31"/>
      <c r="F114" s="101">
        <f t="shared" si="13"/>
        <v>0</v>
      </c>
      <c r="G114" s="118"/>
      <c r="H114" s="56" t="s">
        <v>256</v>
      </c>
      <c r="I114" s="56"/>
      <c r="J114" s="56"/>
      <c r="K114" s="185"/>
      <c r="L114" s="26"/>
      <c r="M114" s="83">
        <v>21</v>
      </c>
      <c r="N114" s="198"/>
      <c r="O114" s="64">
        <v>0</v>
      </c>
      <c r="P114" s="79">
        <f t="shared" si="14"/>
        <v>0</v>
      </c>
      <c r="Q114" s="64">
        <v>7</v>
      </c>
      <c r="R114" s="64">
        <v>0</v>
      </c>
      <c r="S114" s="64">
        <f t="shared" si="15"/>
        <v>7</v>
      </c>
      <c r="T114" s="79">
        <f t="shared" si="16"/>
        <v>0</v>
      </c>
      <c r="U114" s="64">
        <v>2</v>
      </c>
      <c r="V114" s="84">
        <v>1</v>
      </c>
      <c r="W114" s="41"/>
      <c r="X114" s="41"/>
      <c r="Y114" s="41"/>
      <c r="Z114" s="58"/>
    </row>
    <row r="115" spans="1:26" x14ac:dyDescent="0.25">
      <c r="A115" s="155" t="s">
        <v>126</v>
      </c>
      <c r="B115" s="117">
        <v>0</v>
      </c>
      <c r="C115" s="31"/>
      <c r="D115" s="31"/>
      <c r="E115" s="31"/>
      <c r="F115" s="101"/>
      <c r="G115" s="118"/>
      <c r="H115" s="56"/>
      <c r="I115" s="56"/>
      <c r="J115" s="56"/>
      <c r="K115" s="185"/>
      <c r="L115" s="26"/>
      <c r="M115" s="83">
        <v>1</v>
      </c>
      <c r="N115" s="198"/>
      <c r="O115" s="32"/>
      <c r="P115" s="65">
        <f t="shared" si="14"/>
        <v>0</v>
      </c>
      <c r="Q115" s="32"/>
      <c r="R115" s="32"/>
      <c r="S115" s="32">
        <f t="shared" si="15"/>
        <v>0</v>
      </c>
      <c r="T115" s="65">
        <f t="shared" si="16"/>
        <v>0</v>
      </c>
      <c r="U115" s="64"/>
      <c r="V115" s="84"/>
      <c r="W115" s="41" t="s">
        <v>261</v>
      </c>
      <c r="X115" s="41"/>
      <c r="Y115" s="41"/>
      <c r="Z115" s="58"/>
    </row>
    <row r="116" spans="1:26" s="14" customFormat="1" x14ac:dyDescent="0.25">
      <c r="A116" s="155" t="s">
        <v>262</v>
      </c>
      <c r="B116" s="117">
        <v>0</v>
      </c>
      <c r="C116" s="31"/>
      <c r="D116" s="31"/>
      <c r="E116" s="31"/>
      <c r="F116" s="101"/>
      <c r="G116" s="118"/>
      <c r="H116" s="56" t="s">
        <v>256</v>
      </c>
      <c r="I116" s="56"/>
      <c r="J116" s="56"/>
      <c r="K116" s="185"/>
      <c r="L116" s="26"/>
      <c r="M116" s="83">
        <v>9</v>
      </c>
      <c r="N116" s="198"/>
      <c r="O116" s="64">
        <v>0</v>
      </c>
      <c r="P116" s="79">
        <f t="shared" si="14"/>
        <v>0</v>
      </c>
      <c r="Q116" s="64">
        <v>1</v>
      </c>
      <c r="R116" s="64">
        <v>0</v>
      </c>
      <c r="S116" s="64">
        <f t="shared" si="15"/>
        <v>1</v>
      </c>
      <c r="T116" s="79">
        <f t="shared" si="16"/>
        <v>0</v>
      </c>
      <c r="U116" s="64">
        <v>0</v>
      </c>
      <c r="V116" s="84">
        <v>0</v>
      </c>
      <c r="W116" s="41"/>
      <c r="X116" s="41"/>
      <c r="Y116" s="41"/>
      <c r="Z116" s="58"/>
    </row>
    <row r="117" spans="1:26" x14ac:dyDescent="0.25">
      <c r="A117" s="156" t="s">
        <v>127</v>
      </c>
      <c r="B117" s="125">
        <v>112</v>
      </c>
      <c r="C117" s="33">
        <v>43</v>
      </c>
      <c r="D117" s="33">
        <v>22</v>
      </c>
      <c r="E117" s="33"/>
      <c r="F117" s="130">
        <f t="shared" si="13"/>
        <v>22</v>
      </c>
      <c r="G117" s="131"/>
      <c r="H117" s="56"/>
      <c r="I117" s="56"/>
      <c r="J117" s="56"/>
      <c r="K117" s="185"/>
      <c r="L117" s="26"/>
      <c r="M117" s="83">
        <v>279</v>
      </c>
      <c r="N117" s="198">
        <f t="shared" si="11"/>
        <v>1.4910714285714286</v>
      </c>
      <c r="O117" s="36">
        <v>87</v>
      </c>
      <c r="P117" s="40">
        <f t="shared" si="14"/>
        <v>64.5</v>
      </c>
      <c r="Q117" s="36">
        <v>68</v>
      </c>
      <c r="R117" s="36">
        <v>4</v>
      </c>
      <c r="S117" s="36">
        <f t="shared" si="15"/>
        <v>72</v>
      </c>
      <c r="T117" s="40">
        <f t="shared" si="16"/>
        <v>33</v>
      </c>
      <c r="U117" s="64">
        <v>20</v>
      </c>
      <c r="V117" s="84">
        <v>8</v>
      </c>
      <c r="W117" s="41"/>
      <c r="X117" s="41"/>
      <c r="Y117" s="41"/>
      <c r="Z117" s="58"/>
    </row>
    <row r="118" spans="1:26" s="14" customFormat="1" x14ac:dyDescent="0.25">
      <c r="A118" s="155" t="s">
        <v>263</v>
      </c>
      <c r="B118" s="59">
        <v>0</v>
      </c>
      <c r="C118" s="31"/>
      <c r="D118" s="31"/>
      <c r="E118" s="31"/>
      <c r="F118" s="101"/>
      <c r="G118" s="118"/>
      <c r="H118" s="56" t="s">
        <v>256</v>
      </c>
      <c r="I118" s="56"/>
      <c r="J118" s="56"/>
      <c r="K118" s="185"/>
      <c r="L118" s="26"/>
      <c r="M118" s="83">
        <v>14</v>
      </c>
      <c r="N118" s="198"/>
      <c r="O118" s="64">
        <v>2</v>
      </c>
      <c r="P118" s="79">
        <v>0</v>
      </c>
      <c r="Q118" s="64">
        <v>4</v>
      </c>
      <c r="R118" s="64">
        <v>0</v>
      </c>
      <c r="S118" s="64">
        <v>4</v>
      </c>
      <c r="T118" s="79">
        <v>0</v>
      </c>
      <c r="U118" s="64">
        <v>0</v>
      </c>
      <c r="V118" s="84">
        <v>2</v>
      </c>
      <c r="W118" s="41"/>
      <c r="X118" s="41"/>
      <c r="Y118" s="41"/>
      <c r="Z118" s="58"/>
    </row>
    <row r="119" spans="1:26" x14ac:dyDescent="0.25">
      <c r="A119" s="155" t="s">
        <v>128</v>
      </c>
      <c r="B119" s="59">
        <v>50</v>
      </c>
      <c r="C119" s="31">
        <v>27</v>
      </c>
      <c r="D119" s="31">
        <v>7</v>
      </c>
      <c r="E119" s="31"/>
      <c r="F119" s="101">
        <f t="shared" si="13"/>
        <v>7</v>
      </c>
      <c r="G119" s="118"/>
      <c r="H119" s="56"/>
      <c r="I119" s="56"/>
      <c r="J119" s="56"/>
      <c r="K119" s="185"/>
      <c r="L119" s="26"/>
      <c r="M119" s="83">
        <v>51</v>
      </c>
      <c r="N119" s="198">
        <f t="shared" si="11"/>
        <v>0.02</v>
      </c>
      <c r="O119" s="32">
        <v>25</v>
      </c>
      <c r="P119" s="65">
        <f t="shared" si="14"/>
        <v>40.5</v>
      </c>
      <c r="Q119" s="36">
        <v>12</v>
      </c>
      <c r="R119" s="36">
        <v>0</v>
      </c>
      <c r="S119" s="36">
        <f t="shared" si="15"/>
        <v>12</v>
      </c>
      <c r="T119" s="40">
        <f t="shared" si="16"/>
        <v>10.5</v>
      </c>
      <c r="U119" s="64">
        <v>1</v>
      </c>
      <c r="V119" s="84">
        <v>0</v>
      </c>
      <c r="W119" s="41"/>
      <c r="X119" s="41"/>
      <c r="Y119" s="41"/>
      <c r="Z119" s="58"/>
    </row>
    <row r="120" spans="1:26" x14ac:dyDescent="0.25">
      <c r="A120" s="155" t="s">
        <v>264</v>
      </c>
      <c r="B120" s="59">
        <v>0</v>
      </c>
      <c r="C120" s="31"/>
      <c r="D120" s="31"/>
      <c r="E120" s="31"/>
      <c r="F120" s="101">
        <f t="shared" si="13"/>
        <v>0</v>
      </c>
      <c r="G120" s="118"/>
      <c r="H120" s="56" t="s">
        <v>256</v>
      </c>
      <c r="I120" s="56"/>
      <c r="J120" s="56"/>
      <c r="K120" s="185"/>
      <c r="L120" s="26"/>
      <c r="M120" s="83">
        <v>58</v>
      </c>
      <c r="N120" s="198"/>
      <c r="O120" s="64">
        <v>26</v>
      </c>
      <c r="P120" s="79">
        <f t="shared" si="14"/>
        <v>0</v>
      </c>
      <c r="Q120" s="64">
        <v>2</v>
      </c>
      <c r="R120" s="64">
        <v>0</v>
      </c>
      <c r="S120" s="64">
        <f t="shared" si="15"/>
        <v>2</v>
      </c>
      <c r="T120" s="79">
        <f t="shared" si="16"/>
        <v>0</v>
      </c>
      <c r="U120" s="64">
        <v>3</v>
      </c>
      <c r="V120" s="84">
        <v>0</v>
      </c>
      <c r="W120" s="41"/>
      <c r="X120" s="41"/>
      <c r="Y120" s="41"/>
      <c r="Z120" s="58"/>
    </row>
    <row r="121" spans="1:26" x14ac:dyDescent="0.25">
      <c r="A121" s="155" t="s">
        <v>129</v>
      </c>
      <c r="B121" s="117">
        <v>0</v>
      </c>
      <c r="C121" s="31"/>
      <c r="D121" s="31"/>
      <c r="E121" s="31"/>
      <c r="F121" s="101">
        <f t="shared" si="13"/>
        <v>0</v>
      </c>
      <c r="G121" s="118"/>
      <c r="H121" s="56"/>
      <c r="I121" s="56"/>
      <c r="J121" s="56"/>
      <c r="K121" s="185"/>
      <c r="L121" s="26"/>
      <c r="M121" s="83">
        <v>0</v>
      </c>
      <c r="N121" s="198"/>
      <c r="O121" s="32" t="s">
        <v>265</v>
      </c>
      <c r="P121" s="65"/>
      <c r="Q121" s="32"/>
      <c r="R121" s="32"/>
      <c r="S121" s="32"/>
      <c r="T121" s="65"/>
      <c r="U121" s="64"/>
      <c r="V121" s="84"/>
      <c r="W121" s="41"/>
      <c r="X121" s="41"/>
      <c r="Y121" s="41"/>
      <c r="Z121" s="58"/>
    </row>
    <row r="122" spans="1:26" x14ac:dyDescent="0.25">
      <c r="A122" s="155" t="s">
        <v>130</v>
      </c>
      <c r="B122" s="59">
        <v>453</v>
      </c>
      <c r="C122" s="31">
        <v>36</v>
      </c>
      <c r="D122" s="31">
        <v>86</v>
      </c>
      <c r="E122" s="31">
        <v>3</v>
      </c>
      <c r="F122" s="101">
        <f t="shared" si="13"/>
        <v>89</v>
      </c>
      <c r="G122" s="118">
        <v>102</v>
      </c>
      <c r="H122" s="56"/>
      <c r="I122" s="56"/>
      <c r="J122" s="56"/>
      <c r="K122" s="185"/>
      <c r="L122" s="26"/>
      <c r="M122" s="83">
        <v>504</v>
      </c>
      <c r="N122" s="198">
        <f t="shared" si="11"/>
        <v>0.11258278145695365</v>
      </c>
      <c r="O122" s="32">
        <v>44</v>
      </c>
      <c r="P122" s="65">
        <f t="shared" si="14"/>
        <v>54</v>
      </c>
      <c r="Q122" s="32">
        <v>65</v>
      </c>
      <c r="R122" s="32">
        <v>0</v>
      </c>
      <c r="S122" s="32">
        <f t="shared" si="15"/>
        <v>65</v>
      </c>
      <c r="T122" s="65">
        <f t="shared" si="16"/>
        <v>133.5</v>
      </c>
      <c r="U122" s="64">
        <v>36</v>
      </c>
      <c r="V122" s="84">
        <v>23</v>
      </c>
      <c r="W122" s="41"/>
      <c r="X122" s="41"/>
      <c r="Y122" s="41"/>
      <c r="Z122" s="58"/>
    </row>
    <row r="123" spans="1:26" x14ac:dyDescent="0.25">
      <c r="A123" s="155" t="s">
        <v>131</v>
      </c>
      <c r="B123" s="59">
        <v>219</v>
      </c>
      <c r="C123" s="31">
        <v>18</v>
      </c>
      <c r="D123" s="31">
        <v>36</v>
      </c>
      <c r="E123" s="31"/>
      <c r="F123" s="101">
        <f t="shared" si="13"/>
        <v>36</v>
      </c>
      <c r="G123" s="118">
        <v>12</v>
      </c>
      <c r="H123" s="56"/>
      <c r="I123" s="56"/>
      <c r="J123" s="56"/>
      <c r="K123" s="185"/>
      <c r="L123" s="26"/>
      <c r="M123" s="83">
        <v>366</v>
      </c>
      <c r="N123" s="198">
        <f t="shared" si="11"/>
        <v>0.67123287671232879</v>
      </c>
      <c r="O123" s="32">
        <v>22</v>
      </c>
      <c r="P123" s="65">
        <f t="shared" si="14"/>
        <v>27</v>
      </c>
      <c r="Q123" s="36">
        <v>56</v>
      </c>
      <c r="R123" s="36">
        <v>0</v>
      </c>
      <c r="S123" s="36">
        <f t="shared" si="15"/>
        <v>56</v>
      </c>
      <c r="T123" s="40">
        <f t="shared" si="16"/>
        <v>54</v>
      </c>
      <c r="U123" s="64">
        <v>18</v>
      </c>
      <c r="V123" s="209">
        <v>100</v>
      </c>
      <c r="W123" s="41"/>
      <c r="X123" s="41"/>
      <c r="Y123" s="41"/>
      <c r="Z123" s="58"/>
    </row>
    <row r="124" spans="1:26" x14ac:dyDescent="0.25">
      <c r="A124" s="155" t="s">
        <v>132</v>
      </c>
      <c r="B124" s="59">
        <v>493</v>
      </c>
      <c r="C124" s="31">
        <v>38</v>
      </c>
      <c r="D124" s="31">
        <v>75</v>
      </c>
      <c r="E124" s="31">
        <v>1</v>
      </c>
      <c r="F124" s="101">
        <f t="shared" si="13"/>
        <v>76</v>
      </c>
      <c r="G124" s="118">
        <v>114</v>
      </c>
      <c r="H124" s="56"/>
      <c r="I124" s="56"/>
      <c r="J124" s="56"/>
      <c r="K124" s="185"/>
      <c r="L124" s="26"/>
      <c r="M124" s="83">
        <v>542</v>
      </c>
      <c r="N124" s="198">
        <f t="shared" si="11"/>
        <v>9.9391480730223122E-2</v>
      </c>
      <c r="O124" s="32">
        <v>46</v>
      </c>
      <c r="P124" s="65">
        <f t="shared" si="14"/>
        <v>57</v>
      </c>
      <c r="Q124" s="32">
        <v>90</v>
      </c>
      <c r="R124" s="32">
        <v>2</v>
      </c>
      <c r="S124" s="32">
        <f t="shared" si="15"/>
        <v>92</v>
      </c>
      <c r="T124" s="65">
        <f t="shared" si="16"/>
        <v>114</v>
      </c>
      <c r="U124" s="64">
        <v>23</v>
      </c>
      <c r="V124" s="84">
        <v>84</v>
      </c>
      <c r="W124" s="41"/>
      <c r="X124" s="41"/>
      <c r="Y124" s="41"/>
      <c r="Z124" s="58"/>
    </row>
    <row r="125" spans="1:26" x14ac:dyDescent="0.25">
      <c r="A125" s="155" t="s">
        <v>133</v>
      </c>
      <c r="B125" s="59">
        <v>7</v>
      </c>
      <c r="C125" s="31">
        <v>1</v>
      </c>
      <c r="D125" s="31"/>
      <c r="E125" s="31"/>
      <c r="F125" s="101">
        <f t="shared" si="13"/>
        <v>0</v>
      </c>
      <c r="G125" s="118"/>
      <c r="H125" s="56"/>
      <c r="I125" s="56"/>
      <c r="J125" s="56"/>
      <c r="K125" s="185"/>
      <c r="L125" s="26"/>
      <c r="M125" s="83">
        <v>12</v>
      </c>
      <c r="N125" s="198">
        <f t="shared" si="11"/>
        <v>0.7142857142857143</v>
      </c>
      <c r="O125" s="32">
        <v>0</v>
      </c>
      <c r="P125" s="65">
        <f t="shared" si="14"/>
        <v>1.5</v>
      </c>
      <c r="Q125" s="32">
        <v>1</v>
      </c>
      <c r="R125" s="32">
        <v>0</v>
      </c>
      <c r="S125" s="32">
        <f t="shared" si="15"/>
        <v>1</v>
      </c>
      <c r="T125" s="65">
        <f t="shared" si="16"/>
        <v>0</v>
      </c>
      <c r="U125" s="64">
        <v>0</v>
      </c>
      <c r="V125" s="84">
        <v>0</v>
      </c>
      <c r="W125" s="41"/>
      <c r="X125" s="41"/>
      <c r="Y125" s="41"/>
      <c r="Z125" s="58"/>
    </row>
    <row r="126" spans="1:26" x14ac:dyDescent="0.25">
      <c r="A126" s="155" t="s">
        <v>134</v>
      </c>
      <c r="B126" s="59">
        <v>614</v>
      </c>
      <c r="C126" s="31">
        <v>99</v>
      </c>
      <c r="D126" s="31">
        <v>83</v>
      </c>
      <c r="E126" s="31"/>
      <c r="F126" s="101">
        <f t="shared" si="13"/>
        <v>83</v>
      </c>
      <c r="G126" s="118">
        <v>44</v>
      </c>
      <c r="H126" s="56"/>
      <c r="I126" s="56"/>
      <c r="J126" s="56"/>
      <c r="K126" s="185"/>
      <c r="L126" s="26"/>
      <c r="M126" s="83">
        <v>868</v>
      </c>
      <c r="N126" s="198">
        <f t="shared" ref="N126:N145" si="17">(M126-B126)/B126</f>
        <v>0.41368078175895767</v>
      </c>
      <c r="O126" s="36">
        <f>146+28</f>
        <v>174</v>
      </c>
      <c r="P126" s="40">
        <f t="shared" si="14"/>
        <v>148.5</v>
      </c>
      <c r="Q126" s="32">
        <v>109</v>
      </c>
      <c r="R126" s="32">
        <v>1</v>
      </c>
      <c r="S126" s="32">
        <f t="shared" si="15"/>
        <v>110</v>
      </c>
      <c r="T126" s="65">
        <f t="shared" si="16"/>
        <v>124.5</v>
      </c>
      <c r="U126" s="64">
        <v>57</v>
      </c>
      <c r="V126" s="84">
        <v>10</v>
      </c>
      <c r="W126" s="41"/>
      <c r="X126" s="41"/>
      <c r="Y126" s="41"/>
      <c r="Z126" s="58"/>
    </row>
    <row r="127" spans="1:26" x14ac:dyDescent="0.25">
      <c r="A127" s="155" t="s">
        <v>135</v>
      </c>
      <c r="B127" s="59">
        <v>138</v>
      </c>
      <c r="C127" s="31">
        <v>5</v>
      </c>
      <c r="D127" s="31">
        <v>48</v>
      </c>
      <c r="E127" s="31">
        <v>1</v>
      </c>
      <c r="F127" s="101">
        <f t="shared" si="13"/>
        <v>49</v>
      </c>
      <c r="G127" s="118"/>
      <c r="H127" s="56"/>
      <c r="I127" s="56"/>
      <c r="J127" s="56"/>
      <c r="K127" s="185"/>
      <c r="L127" s="26"/>
      <c r="M127" s="83">
        <v>228</v>
      </c>
      <c r="N127" s="198">
        <f t="shared" si="17"/>
        <v>0.65217391304347827</v>
      </c>
      <c r="O127" s="64">
        <v>3</v>
      </c>
      <c r="P127" s="79">
        <f t="shared" si="14"/>
        <v>7.5</v>
      </c>
      <c r="Q127" s="64">
        <v>21</v>
      </c>
      <c r="R127" s="64">
        <v>1</v>
      </c>
      <c r="S127" s="64">
        <f t="shared" si="15"/>
        <v>22</v>
      </c>
      <c r="T127" s="79">
        <f t="shared" si="16"/>
        <v>73.5</v>
      </c>
      <c r="U127" s="64">
        <v>4</v>
      </c>
      <c r="V127" s="84">
        <v>4</v>
      </c>
      <c r="W127" s="41"/>
      <c r="X127" s="41"/>
      <c r="Y127" s="41"/>
      <c r="Z127" s="58"/>
    </row>
    <row r="128" spans="1:26" s="14" customFormat="1" x14ac:dyDescent="0.25">
      <c r="A128" s="155" t="s">
        <v>266</v>
      </c>
      <c r="B128" s="59">
        <v>0</v>
      </c>
      <c r="C128" s="31"/>
      <c r="D128" s="31"/>
      <c r="E128" s="31"/>
      <c r="F128" s="101"/>
      <c r="G128" s="118"/>
      <c r="H128" s="56"/>
      <c r="I128" s="56"/>
      <c r="J128" s="56"/>
      <c r="K128" s="185"/>
      <c r="L128" s="26"/>
      <c r="M128" s="83">
        <v>73</v>
      </c>
      <c r="N128" s="198"/>
      <c r="O128" s="64">
        <v>0</v>
      </c>
      <c r="P128" s="79">
        <f>C129+(C129*0.5)</f>
        <v>0</v>
      </c>
      <c r="Q128" s="64">
        <v>5</v>
      </c>
      <c r="R128" s="64">
        <v>0</v>
      </c>
      <c r="S128" s="64">
        <f>Q128+R128</f>
        <v>5</v>
      </c>
      <c r="T128" s="79">
        <f>F129+(F129*0.5)</f>
        <v>1.5</v>
      </c>
      <c r="U128" s="64">
        <v>2</v>
      </c>
      <c r="V128" s="84">
        <v>3</v>
      </c>
      <c r="W128" s="41"/>
      <c r="X128" s="41"/>
      <c r="Y128" s="41"/>
      <c r="Z128" s="58"/>
    </row>
    <row r="129" spans="1:26" x14ac:dyDescent="0.25">
      <c r="A129" s="155" t="s">
        <v>136</v>
      </c>
      <c r="B129" s="59">
        <v>0</v>
      </c>
      <c r="C129" s="31"/>
      <c r="D129" s="31">
        <v>1</v>
      </c>
      <c r="E129" s="31"/>
      <c r="F129" s="101">
        <f t="shared" si="13"/>
        <v>1</v>
      </c>
      <c r="G129" s="118"/>
      <c r="H129" s="56"/>
      <c r="I129" s="56"/>
      <c r="J129" s="56"/>
      <c r="K129" s="185"/>
      <c r="L129" s="26"/>
      <c r="M129" s="83">
        <v>118</v>
      </c>
      <c r="N129" s="198"/>
      <c r="O129" s="25">
        <v>0</v>
      </c>
      <c r="P129" s="25">
        <v>0</v>
      </c>
      <c r="Q129" s="25">
        <v>3</v>
      </c>
      <c r="R129" s="25">
        <v>0</v>
      </c>
      <c r="S129" s="25">
        <f>Q129+R129</f>
        <v>3</v>
      </c>
      <c r="T129" s="25">
        <v>0</v>
      </c>
      <c r="U129" s="25">
        <v>3</v>
      </c>
      <c r="V129" s="43">
        <v>3</v>
      </c>
      <c r="W129" s="41"/>
      <c r="X129" s="41"/>
      <c r="Y129" s="41"/>
      <c r="Z129" s="58"/>
    </row>
    <row r="130" spans="1:26" x14ac:dyDescent="0.25">
      <c r="A130" s="155" t="s">
        <v>137</v>
      </c>
      <c r="B130" s="59">
        <v>22</v>
      </c>
      <c r="C130" s="31"/>
      <c r="D130" s="31">
        <v>1</v>
      </c>
      <c r="E130" s="31"/>
      <c r="F130" s="101">
        <f t="shared" si="13"/>
        <v>1</v>
      </c>
      <c r="G130" s="118">
        <v>2</v>
      </c>
      <c r="H130" s="56"/>
      <c r="I130" s="56"/>
      <c r="J130" s="56"/>
      <c r="K130" s="185"/>
      <c r="L130" s="26"/>
      <c r="M130" s="83">
        <v>31</v>
      </c>
      <c r="N130" s="198">
        <f t="shared" si="17"/>
        <v>0.40909090909090912</v>
      </c>
      <c r="O130" s="64"/>
      <c r="P130" s="79"/>
      <c r="Q130" s="32">
        <v>1</v>
      </c>
      <c r="R130" s="32">
        <v>0</v>
      </c>
      <c r="S130" s="32">
        <f t="shared" si="15"/>
        <v>1</v>
      </c>
      <c r="T130" s="65">
        <f t="shared" si="16"/>
        <v>1.5</v>
      </c>
      <c r="U130" s="64"/>
      <c r="V130" s="84"/>
      <c r="W130" s="41"/>
      <c r="X130" s="41"/>
      <c r="Y130" s="41"/>
      <c r="Z130" s="58"/>
    </row>
    <row r="131" spans="1:26" x14ac:dyDescent="0.25">
      <c r="A131" s="155" t="s">
        <v>138</v>
      </c>
      <c r="B131" s="59">
        <v>139</v>
      </c>
      <c r="C131" s="31"/>
      <c r="D131" s="31">
        <v>10</v>
      </c>
      <c r="E131" s="31"/>
      <c r="F131" s="101">
        <f t="shared" si="13"/>
        <v>10</v>
      </c>
      <c r="G131" s="118">
        <v>19</v>
      </c>
      <c r="H131" s="56"/>
      <c r="I131" s="56"/>
      <c r="J131" s="56"/>
      <c r="K131" s="185"/>
      <c r="L131" s="26"/>
      <c r="M131" s="83">
        <v>244</v>
      </c>
      <c r="N131" s="198">
        <f t="shared" si="17"/>
        <v>0.75539568345323738</v>
      </c>
      <c r="O131" s="64"/>
      <c r="P131" s="79"/>
      <c r="Q131" s="32">
        <v>11</v>
      </c>
      <c r="R131" s="32">
        <v>1</v>
      </c>
      <c r="S131" s="32">
        <f t="shared" si="15"/>
        <v>12</v>
      </c>
      <c r="T131" s="65">
        <f t="shared" si="16"/>
        <v>15</v>
      </c>
      <c r="U131" s="64">
        <v>4</v>
      </c>
      <c r="V131" s="84"/>
      <c r="W131" s="41"/>
      <c r="X131" s="41"/>
      <c r="Y131" s="41"/>
      <c r="Z131" s="58"/>
    </row>
    <row r="132" spans="1:26" x14ac:dyDescent="0.25">
      <c r="A132" s="155" t="s">
        <v>139</v>
      </c>
      <c r="B132" s="59">
        <v>189</v>
      </c>
      <c r="C132" s="31"/>
      <c r="D132" s="31">
        <v>12</v>
      </c>
      <c r="E132" s="31"/>
      <c r="F132" s="101">
        <f t="shared" si="13"/>
        <v>12</v>
      </c>
      <c r="G132" s="118">
        <v>20</v>
      </c>
      <c r="H132" s="56"/>
      <c r="I132" s="56"/>
      <c r="J132" s="56"/>
      <c r="K132" s="185"/>
      <c r="L132" s="26"/>
      <c r="M132" s="83">
        <v>222</v>
      </c>
      <c r="N132" s="198">
        <f t="shared" si="17"/>
        <v>0.17460317460317459</v>
      </c>
      <c r="O132" s="64"/>
      <c r="P132" s="79"/>
      <c r="Q132" s="36">
        <v>16</v>
      </c>
      <c r="R132" s="36">
        <v>3</v>
      </c>
      <c r="S132" s="36">
        <f t="shared" si="15"/>
        <v>19</v>
      </c>
      <c r="T132" s="40">
        <f t="shared" si="16"/>
        <v>18</v>
      </c>
      <c r="U132" s="64">
        <v>45</v>
      </c>
      <c r="V132" s="84"/>
      <c r="W132" s="41"/>
      <c r="X132" s="41"/>
      <c r="Y132" s="41"/>
      <c r="Z132" s="58"/>
    </row>
    <row r="133" spans="1:26" x14ac:dyDescent="0.25">
      <c r="A133" s="155" t="s">
        <v>140</v>
      </c>
      <c r="B133" s="59">
        <v>198</v>
      </c>
      <c r="C133" s="31"/>
      <c r="D133" s="31">
        <v>10</v>
      </c>
      <c r="E133" s="31"/>
      <c r="F133" s="101">
        <f t="shared" si="13"/>
        <v>10</v>
      </c>
      <c r="G133" s="118">
        <v>24</v>
      </c>
      <c r="H133" s="56"/>
      <c r="I133" s="56"/>
      <c r="J133" s="56"/>
      <c r="K133" s="185"/>
      <c r="L133" s="26"/>
      <c r="M133" s="83">
        <v>273</v>
      </c>
      <c r="N133" s="198">
        <f t="shared" si="17"/>
        <v>0.37878787878787878</v>
      </c>
      <c r="O133" s="64"/>
      <c r="P133" s="79"/>
      <c r="Q133" s="32">
        <v>8</v>
      </c>
      <c r="R133" s="32">
        <v>0</v>
      </c>
      <c r="S133" s="32">
        <f t="shared" si="15"/>
        <v>8</v>
      </c>
      <c r="T133" s="65">
        <f t="shared" si="16"/>
        <v>15</v>
      </c>
      <c r="U133" s="64">
        <v>39</v>
      </c>
      <c r="V133" s="84"/>
      <c r="W133" s="41"/>
      <c r="X133" s="41"/>
      <c r="Y133" s="41"/>
      <c r="Z133" s="58"/>
    </row>
    <row r="134" spans="1:26" x14ac:dyDescent="0.25">
      <c r="A134" s="155" t="s">
        <v>141</v>
      </c>
      <c r="B134" s="59">
        <v>376</v>
      </c>
      <c r="C134" s="31">
        <v>24</v>
      </c>
      <c r="D134" s="31">
        <v>18</v>
      </c>
      <c r="E134" s="31"/>
      <c r="F134" s="101">
        <f t="shared" si="13"/>
        <v>18</v>
      </c>
      <c r="G134" s="118"/>
      <c r="H134" s="56"/>
      <c r="I134" s="56"/>
      <c r="J134" s="56"/>
      <c r="K134" s="185"/>
      <c r="L134" s="26"/>
      <c r="M134" s="83">
        <v>574</v>
      </c>
      <c r="N134" s="198">
        <f t="shared" si="17"/>
        <v>0.52659574468085102</v>
      </c>
      <c r="O134" s="32">
        <v>12</v>
      </c>
      <c r="P134" s="65">
        <f t="shared" si="14"/>
        <v>36</v>
      </c>
      <c r="Q134" s="36">
        <v>34</v>
      </c>
      <c r="R134" s="36">
        <v>0</v>
      </c>
      <c r="S134" s="36">
        <f t="shared" si="15"/>
        <v>34</v>
      </c>
      <c r="T134" s="40">
        <f t="shared" si="16"/>
        <v>27</v>
      </c>
      <c r="U134" s="64">
        <v>6</v>
      </c>
      <c r="V134" s="84">
        <v>0</v>
      </c>
      <c r="W134" s="41"/>
      <c r="X134" s="58"/>
      <c r="Y134" s="41"/>
      <c r="Z134" s="58"/>
    </row>
    <row r="135" spans="1:26" x14ac:dyDescent="0.25">
      <c r="A135" s="155" t="s">
        <v>142</v>
      </c>
      <c r="B135" s="59">
        <v>227</v>
      </c>
      <c r="C135" s="31">
        <v>11</v>
      </c>
      <c r="D135" s="31">
        <v>21</v>
      </c>
      <c r="E135" s="31"/>
      <c r="F135" s="101">
        <f t="shared" si="13"/>
        <v>21</v>
      </c>
      <c r="G135" s="118"/>
      <c r="H135" s="56"/>
      <c r="I135" s="56"/>
      <c r="J135" s="56"/>
      <c r="K135" s="185"/>
      <c r="L135" s="26"/>
      <c r="M135" s="83">
        <v>313</v>
      </c>
      <c r="N135" s="198">
        <f t="shared" si="17"/>
        <v>0.3788546255506608</v>
      </c>
      <c r="O135" s="32">
        <v>7</v>
      </c>
      <c r="P135" s="65">
        <f>C135+(C135*0.5)</f>
        <v>16.5</v>
      </c>
      <c r="Q135" s="32">
        <v>12</v>
      </c>
      <c r="R135" s="32">
        <v>0</v>
      </c>
      <c r="S135" s="32">
        <f t="shared" si="15"/>
        <v>12</v>
      </c>
      <c r="T135" s="65">
        <f t="shared" si="16"/>
        <v>31.5</v>
      </c>
      <c r="U135" s="64">
        <v>7</v>
      </c>
      <c r="V135" s="84">
        <v>3</v>
      </c>
      <c r="W135" s="41"/>
      <c r="X135" s="41"/>
      <c r="Y135" s="41"/>
      <c r="Z135" s="58"/>
    </row>
    <row r="136" spans="1:26" s="14" customFormat="1" x14ac:dyDescent="0.25">
      <c r="A136" s="155" t="s">
        <v>267</v>
      </c>
      <c r="B136" s="59">
        <v>6</v>
      </c>
      <c r="C136" s="31"/>
      <c r="D136" s="31"/>
      <c r="E136" s="31"/>
      <c r="F136" s="101"/>
      <c r="G136" s="118">
        <v>6</v>
      </c>
      <c r="H136" s="56"/>
      <c r="I136" s="56"/>
      <c r="J136" s="56"/>
      <c r="K136" s="185"/>
      <c r="L136" s="26"/>
      <c r="M136" s="83">
        <v>6</v>
      </c>
      <c r="N136" s="198">
        <f t="shared" si="17"/>
        <v>0</v>
      </c>
      <c r="O136" s="64" t="s">
        <v>268</v>
      </c>
      <c r="P136" s="79"/>
      <c r="Q136" s="64"/>
      <c r="R136" s="64"/>
      <c r="S136" s="64"/>
      <c r="T136" s="79"/>
      <c r="U136" s="64">
        <v>6</v>
      </c>
      <c r="V136" s="84"/>
      <c r="W136" s="41"/>
      <c r="X136" s="41"/>
      <c r="Y136" s="41"/>
      <c r="Z136" s="58"/>
    </row>
    <row r="137" spans="1:26" x14ac:dyDescent="0.25">
      <c r="A137" s="155" t="s">
        <v>143</v>
      </c>
      <c r="B137" s="59">
        <v>154</v>
      </c>
      <c r="C137" s="31">
        <v>20</v>
      </c>
      <c r="D137" s="31">
        <v>46</v>
      </c>
      <c r="E137" s="31"/>
      <c r="F137" s="101">
        <f t="shared" si="13"/>
        <v>46</v>
      </c>
      <c r="G137" s="118">
        <v>19</v>
      </c>
      <c r="H137" s="56"/>
      <c r="I137" s="56"/>
      <c r="J137" s="56"/>
      <c r="K137" s="185"/>
      <c r="L137" s="26"/>
      <c r="M137" s="83">
        <v>218</v>
      </c>
      <c r="N137" s="198">
        <f t="shared" si="17"/>
        <v>0.41558441558441561</v>
      </c>
      <c r="O137" s="32">
        <v>28</v>
      </c>
      <c r="P137" s="65">
        <f t="shared" si="14"/>
        <v>30</v>
      </c>
      <c r="Q137" s="32">
        <v>19</v>
      </c>
      <c r="R137" s="32">
        <v>0</v>
      </c>
      <c r="S137" s="32">
        <f t="shared" si="15"/>
        <v>19</v>
      </c>
      <c r="T137" s="65">
        <f t="shared" si="16"/>
        <v>69</v>
      </c>
      <c r="U137" s="64">
        <v>3</v>
      </c>
      <c r="V137" s="84">
        <v>9</v>
      </c>
      <c r="W137" s="41"/>
      <c r="X137" s="41"/>
      <c r="Y137" s="41"/>
      <c r="Z137" s="58"/>
    </row>
    <row r="138" spans="1:26" x14ac:dyDescent="0.25">
      <c r="A138" s="155" t="s">
        <v>144</v>
      </c>
      <c r="B138" s="59">
        <v>154</v>
      </c>
      <c r="C138" s="31">
        <v>32</v>
      </c>
      <c r="D138" s="31">
        <v>31</v>
      </c>
      <c r="E138" s="31"/>
      <c r="F138" s="101">
        <f t="shared" si="13"/>
        <v>31</v>
      </c>
      <c r="G138" s="118">
        <v>23</v>
      </c>
      <c r="H138" s="56"/>
      <c r="I138" s="56"/>
      <c r="J138" s="56"/>
      <c r="K138" s="185"/>
      <c r="L138" s="26"/>
      <c r="M138" s="83">
        <v>197</v>
      </c>
      <c r="N138" s="198">
        <f t="shared" si="17"/>
        <v>0.2792207792207792</v>
      </c>
      <c r="O138" s="32">
        <v>35</v>
      </c>
      <c r="P138" s="65">
        <f t="shared" si="14"/>
        <v>48</v>
      </c>
      <c r="Q138" s="32">
        <v>28</v>
      </c>
      <c r="R138" s="32">
        <v>0</v>
      </c>
      <c r="S138" s="32">
        <f t="shared" si="15"/>
        <v>28</v>
      </c>
      <c r="T138" s="65">
        <f t="shared" si="16"/>
        <v>46.5</v>
      </c>
      <c r="U138" s="64">
        <v>47</v>
      </c>
      <c r="V138" s="84">
        <v>15</v>
      </c>
      <c r="W138" s="41"/>
      <c r="X138" s="41"/>
      <c r="Y138" s="41"/>
      <c r="Z138" s="58"/>
    </row>
    <row r="139" spans="1:26" x14ac:dyDescent="0.25">
      <c r="A139" s="155" t="s">
        <v>145</v>
      </c>
      <c r="B139" s="59">
        <v>69</v>
      </c>
      <c r="C139" s="31">
        <v>19</v>
      </c>
      <c r="D139" s="31">
        <v>10</v>
      </c>
      <c r="E139" s="31"/>
      <c r="F139" s="101">
        <f t="shared" si="13"/>
        <v>10</v>
      </c>
      <c r="G139" s="118"/>
      <c r="H139" s="56"/>
      <c r="I139" s="56"/>
      <c r="J139" s="56"/>
      <c r="K139" s="185"/>
      <c r="L139" s="26"/>
      <c r="M139" s="83">
        <v>104</v>
      </c>
      <c r="N139" s="198">
        <f t="shared" si="17"/>
        <v>0.50724637681159424</v>
      </c>
      <c r="O139" s="32">
        <v>18</v>
      </c>
      <c r="P139" s="65">
        <f t="shared" si="14"/>
        <v>28.5</v>
      </c>
      <c r="Q139" s="36">
        <v>33</v>
      </c>
      <c r="R139" s="36">
        <v>0</v>
      </c>
      <c r="S139" s="36">
        <f t="shared" si="15"/>
        <v>33</v>
      </c>
      <c r="T139" s="40">
        <f t="shared" si="16"/>
        <v>15</v>
      </c>
      <c r="U139" s="64">
        <v>6</v>
      </c>
      <c r="V139" s="84">
        <v>1</v>
      </c>
      <c r="W139" s="41"/>
      <c r="X139" s="41"/>
      <c r="Y139" s="41"/>
      <c r="Z139" s="58"/>
    </row>
    <row r="140" spans="1:26" x14ac:dyDescent="0.25">
      <c r="A140" s="155" t="s">
        <v>146</v>
      </c>
      <c r="B140" s="59">
        <v>586</v>
      </c>
      <c r="C140" s="31">
        <v>86</v>
      </c>
      <c r="D140" s="31">
        <v>201</v>
      </c>
      <c r="E140" s="31"/>
      <c r="F140" s="101">
        <f t="shared" si="13"/>
        <v>201</v>
      </c>
      <c r="G140" s="118">
        <v>48</v>
      </c>
      <c r="H140" s="56"/>
      <c r="I140" s="56"/>
      <c r="J140" s="56"/>
      <c r="K140" s="185"/>
      <c r="L140" s="26"/>
      <c r="M140" s="83">
        <v>793</v>
      </c>
      <c r="N140" s="198">
        <f t="shared" si="17"/>
        <v>0.35324232081911261</v>
      </c>
      <c r="O140" s="32">
        <v>116</v>
      </c>
      <c r="P140" s="65">
        <f t="shared" si="14"/>
        <v>129</v>
      </c>
      <c r="Q140" s="32">
        <v>138</v>
      </c>
      <c r="R140" s="32">
        <v>1</v>
      </c>
      <c r="S140" s="32">
        <f t="shared" si="15"/>
        <v>139</v>
      </c>
      <c r="T140" s="65">
        <f t="shared" si="16"/>
        <v>301.5</v>
      </c>
      <c r="U140" s="64">
        <v>83</v>
      </c>
      <c r="V140" s="84">
        <v>15</v>
      </c>
      <c r="W140" s="41"/>
      <c r="X140" s="41"/>
      <c r="Y140" s="41"/>
      <c r="Z140" s="58"/>
    </row>
    <row r="141" spans="1:26" x14ac:dyDescent="0.25">
      <c r="A141" s="155" t="s">
        <v>147</v>
      </c>
      <c r="B141" s="59">
        <v>251</v>
      </c>
      <c r="C141" s="31">
        <v>39</v>
      </c>
      <c r="D141" s="31"/>
      <c r="E141" s="31"/>
      <c r="F141" s="101">
        <f t="shared" si="13"/>
        <v>0</v>
      </c>
      <c r="G141" s="118"/>
      <c r="H141" s="56"/>
      <c r="I141" s="56"/>
      <c r="J141" s="56"/>
      <c r="K141" s="185"/>
      <c r="L141" s="26"/>
      <c r="M141" s="83">
        <v>356</v>
      </c>
      <c r="N141" s="198">
        <f t="shared" si="17"/>
        <v>0.41832669322709165</v>
      </c>
      <c r="O141" s="32">
        <v>47</v>
      </c>
      <c r="P141" s="65">
        <f t="shared" si="14"/>
        <v>58.5</v>
      </c>
      <c r="Q141" s="36">
        <v>25</v>
      </c>
      <c r="R141" s="36">
        <v>0</v>
      </c>
      <c r="S141" s="36">
        <f t="shared" si="15"/>
        <v>25</v>
      </c>
      <c r="T141" s="40">
        <f t="shared" si="16"/>
        <v>0</v>
      </c>
      <c r="U141" s="64">
        <v>11</v>
      </c>
      <c r="V141" s="84">
        <v>30</v>
      </c>
      <c r="W141" s="41"/>
      <c r="X141" s="41"/>
      <c r="Y141" s="41"/>
      <c r="Z141" s="58"/>
    </row>
    <row r="142" spans="1:26" x14ac:dyDescent="0.25">
      <c r="A142" s="155" t="s">
        <v>148</v>
      </c>
      <c r="B142" s="59">
        <v>183</v>
      </c>
      <c r="C142" s="31">
        <v>27</v>
      </c>
      <c r="D142" s="31">
        <v>22</v>
      </c>
      <c r="E142" s="31"/>
      <c r="F142" s="101">
        <f t="shared" si="13"/>
        <v>22</v>
      </c>
      <c r="G142" s="118">
        <v>7</v>
      </c>
      <c r="H142" s="56"/>
      <c r="I142" s="56"/>
      <c r="J142" s="56"/>
      <c r="K142" s="185"/>
      <c r="L142" s="26"/>
      <c r="M142" s="83">
        <v>262</v>
      </c>
      <c r="N142" s="198">
        <f t="shared" si="17"/>
        <v>0.43169398907103823</v>
      </c>
      <c r="O142" s="32">
        <v>31</v>
      </c>
      <c r="P142" s="65">
        <f t="shared" si="14"/>
        <v>40.5</v>
      </c>
      <c r="Q142" s="32">
        <v>23</v>
      </c>
      <c r="R142" s="32">
        <v>2</v>
      </c>
      <c r="S142" s="32">
        <f t="shared" si="15"/>
        <v>25</v>
      </c>
      <c r="T142" s="65">
        <f t="shared" si="16"/>
        <v>33</v>
      </c>
      <c r="U142" s="64">
        <v>12</v>
      </c>
      <c r="V142" s="84">
        <v>17</v>
      </c>
      <c r="W142" s="41"/>
      <c r="X142" s="41"/>
      <c r="Y142" s="41"/>
      <c r="Z142" s="58"/>
    </row>
    <row r="143" spans="1:26" x14ac:dyDescent="0.25">
      <c r="A143" s="156" t="s">
        <v>149</v>
      </c>
      <c r="B143" s="125">
        <v>233</v>
      </c>
      <c r="C143" s="33">
        <v>13</v>
      </c>
      <c r="D143" s="33"/>
      <c r="E143" s="33"/>
      <c r="F143" s="130">
        <f t="shared" si="13"/>
        <v>0</v>
      </c>
      <c r="G143" s="131"/>
      <c r="H143" s="56"/>
      <c r="I143" s="56"/>
      <c r="J143" s="56"/>
      <c r="K143" s="185"/>
      <c r="L143" s="26"/>
      <c r="M143" s="83">
        <v>372</v>
      </c>
      <c r="N143" s="198">
        <f t="shared" si="17"/>
        <v>0.59656652360515017</v>
      </c>
      <c r="O143" s="36">
        <v>28</v>
      </c>
      <c r="P143" s="40">
        <f t="shared" si="14"/>
        <v>19.5</v>
      </c>
      <c r="Q143" s="36">
        <v>50</v>
      </c>
      <c r="R143" s="36">
        <v>0</v>
      </c>
      <c r="S143" s="36">
        <f t="shared" si="15"/>
        <v>50</v>
      </c>
      <c r="T143" s="40">
        <f t="shared" si="16"/>
        <v>0</v>
      </c>
      <c r="U143" s="64">
        <v>16</v>
      </c>
      <c r="V143" s="84">
        <v>53</v>
      </c>
      <c r="W143" s="41"/>
      <c r="X143" s="41"/>
      <c r="Y143" s="41"/>
      <c r="Z143" s="58"/>
    </row>
    <row r="144" spans="1:26" x14ac:dyDescent="0.25">
      <c r="A144" s="156" t="s">
        <v>150</v>
      </c>
      <c r="B144" s="125">
        <v>99</v>
      </c>
      <c r="C144" s="33">
        <v>7</v>
      </c>
      <c r="D144" s="33"/>
      <c r="E144" s="33"/>
      <c r="F144" s="130">
        <f t="shared" si="13"/>
        <v>0</v>
      </c>
      <c r="G144" s="131">
        <v>7</v>
      </c>
      <c r="H144" s="56"/>
      <c r="I144" s="56"/>
      <c r="J144" s="56"/>
      <c r="K144" s="185"/>
      <c r="L144" s="26"/>
      <c r="M144" s="83">
        <v>215</v>
      </c>
      <c r="N144" s="198">
        <f t="shared" si="17"/>
        <v>1.1717171717171717</v>
      </c>
      <c r="O144" s="36">
        <v>35</v>
      </c>
      <c r="P144" s="40">
        <f t="shared" si="14"/>
        <v>10.5</v>
      </c>
      <c r="Q144" s="36">
        <v>25</v>
      </c>
      <c r="R144" s="36">
        <v>1</v>
      </c>
      <c r="S144" s="36">
        <f t="shared" si="15"/>
        <v>26</v>
      </c>
      <c r="T144" s="40">
        <f t="shared" si="16"/>
        <v>0</v>
      </c>
      <c r="U144" s="64">
        <v>5</v>
      </c>
      <c r="V144" s="84">
        <v>73</v>
      </c>
      <c r="W144" s="41"/>
      <c r="X144" s="41"/>
      <c r="Y144" s="41"/>
      <c r="Z144" s="58"/>
    </row>
    <row r="145" spans="1:26" ht="16.5" thickBot="1" x14ac:dyDescent="0.3">
      <c r="A145" s="158" t="s">
        <v>151</v>
      </c>
      <c r="B145" s="66">
        <v>251</v>
      </c>
      <c r="C145" s="113">
        <v>28</v>
      </c>
      <c r="D145" s="113"/>
      <c r="E145" s="113">
        <v>6</v>
      </c>
      <c r="F145" s="114">
        <f t="shared" si="13"/>
        <v>6</v>
      </c>
      <c r="G145" s="119"/>
      <c r="H145" s="56"/>
      <c r="I145" s="56"/>
      <c r="J145" s="56"/>
      <c r="K145" s="185"/>
      <c r="L145" s="26"/>
      <c r="M145" s="96">
        <v>359</v>
      </c>
      <c r="N145" s="199">
        <f t="shared" si="17"/>
        <v>0.4302788844621514</v>
      </c>
      <c r="O145" s="44">
        <v>9</v>
      </c>
      <c r="P145" s="108">
        <f t="shared" si="14"/>
        <v>42</v>
      </c>
      <c r="Q145" s="63">
        <v>17</v>
      </c>
      <c r="R145" s="63">
        <v>0</v>
      </c>
      <c r="S145" s="63">
        <f t="shared" si="15"/>
        <v>17</v>
      </c>
      <c r="T145" s="62">
        <f t="shared" si="16"/>
        <v>9</v>
      </c>
      <c r="U145" s="98">
        <v>20</v>
      </c>
      <c r="V145" s="116">
        <v>29</v>
      </c>
      <c r="W145" s="41"/>
      <c r="X145" s="41"/>
      <c r="Y145" s="41"/>
      <c r="Z145" s="58"/>
    </row>
    <row r="146" spans="1:26" ht="16.5" thickBot="1" x14ac:dyDescent="0.3">
      <c r="A146" s="67"/>
      <c r="B146" s="171"/>
      <c r="C146" s="47"/>
      <c r="D146" s="47"/>
      <c r="E146" s="47"/>
      <c r="F146" s="48"/>
      <c r="G146" s="47"/>
      <c r="H146" s="56"/>
      <c r="I146" s="56"/>
      <c r="J146" s="56"/>
      <c r="K146" s="185"/>
      <c r="L146" s="26"/>
      <c r="M146" s="58"/>
      <c r="N146" s="205"/>
      <c r="O146" s="58"/>
      <c r="P146" s="137"/>
      <c r="Q146" s="58"/>
      <c r="R146" s="58"/>
      <c r="S146" s="58"/>
      <c r="T146" s="137"/>
      <c r="U146" s="58"/>
      <c r="V146" s="58">
        <f>SUM(V3:V145)</f>
        <v>1420</v>
      </c>
      <c r="W146" s="41"/>
      <c r="X146" s="41"/>
      <c r="Y146" s="41"/>
      <c r="Z146" s="58"/>
    </row>
    <row r="147" spans="1:26" ht="23.25" x14ac:dyDescent="0.35">
      <c r="A147" s="157" t="s">
        <v>152</v>
      </c>
      <c r="B147" s="52"/>
      <c r="C147" s="53"/>
      <c r="D147" s="53"/>
      <c r="E147" s="53"/>
      <c r="F147" s="54"/>
      <c r="G147" s="55"/>
      <c r="H147" s="58"/>
      <c r="I147" s="56"/>
      <c r="J147" s="56"/>
      <c r="K147" s="185"/>
      <c r="L147" s="26"/>
      <c r="M147" s="115"/>
      <c r="N147" s="97"/>
      <c r="O147" s="97"/>
      <c r="P147" s="99"/>
      <c r="Q147" s="97"/>
      <c r="R147" s="97"/>
      <c r="S147" s="97"/>
      <c r="T147" s="99"/>
      <c r="U147" s="97"/>
      <c r="V147" s="109"/>
      <c r="W147" s="41"/>
      <c r="X147" s="41"/>
      <c r="Y147" s="41"/>
      <c r="Z147" s="58"/>
    </row>
    <row r="148" spans="1:26" x14ac:dyDescent="0.25">
      <c r="A148" s="156" t="s">
        <v>153</v>
      </c>
      <c r="B148" s="36">
        <v>31</v>
      </c>
      <c r="C148" s="130"/>
      <c r="D148" s="33">
        <v>7</v>
      </c>
      <c r="E148" s="130"/>
      <c r="F148" s="35">
        <f t="shared" ref="F148:F176" si="18">E148+D148</f>
        <v>7</v>
      </c>
      <c r="G148" s="131">
        <v>2</v>
      </c>
      <c r="H148" s="58"/>
      <c r="I148" s="56"/>
      <c r="J148" s="56"/>
      <c r="K148" s="185"/>
      <c r="L148" s="26"/>
      <c r="M148" s="264">
        <v>72</v>
      </c>
      <c r="N148" s="233">
        <f>(M148-B148)/B148</f>
        <v>1.3225806451612903</v>
      </c>
      <c r="O148" s="36"/>
      <c r="P148" s="40"/>
      <c r="Q148" s="36">
        <v>17</v>
      </c>
      <c r="R148" s="36">
        <v>0</v>
      </c>
      <c r="S148" s="36">
        <f>Q148+R148</f>
        <v>17</v>
      </c>
      <c r="T148" s="40">
        <f t="shared" si="16"/>
        <v>10.5</v>
      </c>
      <c r="U148" s="64">
        <v>2</v>
      </c>
      <c r="V148" s="84">
        <v>5</v>
      </c>
      <c r="W148" s="41"/>
      <c r="X148" s="41"/>
      <c r="Y148" s="41"/>
      <c r="Z148" s="58"/>
    </row>
    <row r="149" spans="1:26" x14ac:dyDescent="0.25">
      <c r="A149" s="155" t="s">
        <v>154</v>
      </c>
      <c r="B149" s="64">
        <v>115</v>
      </c>
      <c r="C149" s="60"/>
      <c r="D149" s="23">
        <v>59</v>
      </c>
      <c r="E149" s="16">
        <v>1</v>
      </c>
      <c r="F149" s="24">
        <f t="shared" si="18"/>
        <v>60</v>
      </c>
      <c r="G149" s="61">
        <v>8</v>
      </c>
      <c r="H149" s="58"/>
      <c r="I149" s="56"/>
      <c r="J149" s="56"/>
      <c r="K149" s="185"/>
      <c r="L149" s="26"/>
      <c r="M149" s="221">
        <v>278</v>
      </c>
      <c r="N149" s="198">
        <f t="shared" ref="N149:N212" si="19">(M149-B149)/B149</f>
        <v>1.4173913043478261</v>
      </c>
      <c r="O149" s="64"/>
      <c r="P149" s="79"/>
      <c r="Q149" s="32">
        <v>44</v>
      </c>
      <c r="R149" s="32">
        <v>2</v>
      </c>
      <c r="S149" s="32">
        <f t="shared" ref="S149:S176" si="20">Q149+R149</f>
        <v>46</v>
      </c>
      <c r="T149" s="65">
        <f t="shared" si="16"/>
        <v>90</v>
      </c>
      <c r="U149" s="64">
        <v>17</v>
      </c>
      <c r="V149" s="84">
        <v>11</v>
      </c>
      <c r="W149" s="41"/>
      <c r="X149" s="41"/>
      <c r="Y149" s="41"/>
      <c r="Z149" s="58"/>
    </row>
    <row r="150" spans="1:26" x14ac:dyDescent="0.25">
      <c r="A150" s="156" t="s">
        <v>155</v>
      </c>
      <c r="B150" s="36">
        <v>91</v>
      </c>
      <c r="C150" s="33"/>
      <c r="D150" s="33">
        <v>16</v>
      </c>
      <c r="E150" s="33"/>
      <c r="F150" s="35">
        <f t="shared" si="18"/>
        <v>16</v>
      </c>
      <c r="G150" s="131">
        <v>2</v>
      </c>
      <c r="H150" s="58"/>
      <c r="I150" s="56"/>
      <c r="J150" s="56"/>
      <c r="K150" s="185"/>
      <c r="L150" s="26"/>
      <c r="M150" s="264">
        <v>182</v>
      </c>
      <c r="N150" s="233">
        <f t="shared" si="19"/>
        <v>1</v>
      </c>
      <c r="O150" s="36"/>
      <c r="P150" s="40"/>
      <c r="Q150" s="36">
        <v>26</v>
      </c>
      <c r="R150" s="36">
        <v>1</v>
      </c>
      <c r="S150" s="36">
        <f t="shared" si="20"/>
        <v>27</v>
      </c>
      <c r="T150" s="40">
        <f t="shared" si="16"/>
        <v>24</v>
      </c>
      <c r="U150" s="64">
        <v>10</v>
      </c>
      <c r="V150" s="84">
        <v>14</v>
      </c>
      <c r="W150" s="41"/>
      <c r="X150" s="41"/>
      <c r="Y150" s="41"/>
      <c r="Z150" s="58"/>
    </row>
    <row r="151" spans="1:26" x14ac:dyDescent="0.25">
      <c r="A151" s="155" t="s">
        <v>156</v>
      </c>
      <c r="B151" s="64">
        <v>64</v>
      </c>
      <c r="C151" s="31"/>
      <c r="D151" s="31">
        <v>16</v>
      </c>
      <c r="E151" s="31"/>
      <c r="F151" s="78">
        <f t="shared" si="18"/>
        <v>16</v>
      </c>
      <c r="G151" s="118">
        <v>2</v>
      </c>
      <c r="H151" s="58"/>
      <c r="I151" s="56"/>
      <c r="J151" s="56"/>
      <c r="K151" s="185"/>
      <c r="L151" s="26"/>
      <c r="M151" s="221">
        <v>179</v>
      </c>
      <c r="N151" s="198">
        <f t="shared" si="19"/>
        <v>1.796875</v>
      </c>
      <c r="O151" s="64"/>
      <c r="P151" s="79"/>
      <c r="Q151" s="32">
        <v>20</v>
      </c>
      <c r="R151" s="32">
        <v>0</v>
      </c>
      <c r="S151" s="32">
        <f t="shared" si="20"/>
        <v>20</v>
      </c>
      <c r="T151" s="65">
        <f t="shared" si="16"/>
        <v>24</v>
      </c>
      <c r="U151" s="64">
        <v>2</v>
      </c>
      <c r="V151" s="84">
        <v>11</v>
      </c>
      <c r="W151" s="41"/>
      <c r="X151" s="41"/>
      <c r="Y151" s="41"/>
      <c r="Z151" s="58"/>
    </row>
    <row r="152" spans="1:26" x14ac:dyDescent="0.25">
      <c r="A152" s="156" t="s">
        <v>157</v>
      </c>
      <c r="B152" s="36">
        <v>6</v>
      </c>
      <c r="C152" s="33"/>
      <c r="D152" s="33"/>
      <c r="E152" s="33"/>
      <c r="F152" s="35">
        <f t="shared" si="18"/>
        <v>0</v>
      </c>
      <c r="G152" s="131"/>
      <c r="H152" s="58"/>
      <c r="I152" s="56"/>
      <c r="J152" s="56"/>
      <c r="K152" s="185"/>
      <c r="L152" s="26"/>
      <c r="M152" s="264">
        <v>36</v>
      </c>
      <c r="N152" s="233">
        <f t="shared" si="19"/>
        <v>5</v>
      </c>
      <c r="O152" s="36">
        <v>1</v>
      </c>
      <c r="P152" s="40">
        <v>0</v>
      </c>
      <c r="Q152" s="36">
        <v>7</v>
      </c>
      <c r="R152" s="36">
        <v>0</v>
      </c>
      <c r="S152" s="36">
        <f t="shared" si="20"/>
        <v>7</v>
      </c>
      <c r="T152" s="40">
        <f t="shared" si="16"/>
        <v>0</v>
      </c>
      <c r="U152" s="64">
        <v>4</v>
      </c>
      <c r="V152" s="84">
        <v>1</v>
      </c>
      <c r="W152" s="41"/>
      <c r="X152" s="41"/>
      <c r="Y152" s="41"/>
      <c r="Z152" s="58"/>
    </row>
    <row r="153" spans="1:26" x14ac:dyDescent="0.25">
      <c r="A153" s="156" t="s">
        <v>158</v>
      </c>
      <c r="B153" s="36">
        <v>33</v>
      </c>
      <c r="C153" s="33">
        <v>6</v>
      </c>
      <c r="D153" s="33">
        <v>2</v>
      </c>
      <c r="E153" s="33"/>
      <c r="F153" s="35">
        <f t="shared" si="18"/>
        <v>2</v>
      </c>
      <c r="G153" s="131">
        <v>1</v>
      </c>
      <c r="H153" s="58"/>
      <c r="I153" s="56"/>
      <c r="J153" s="56"/>
      <c r="K153" s="185"/>
      <c r="L153" s="26"/>
      <c r="M153" s="264">
        <v>76</v>
      </c>
      <c r="N153" s="233">
        <f t="shared" si="19"/>
        <v>1.303030303030303</v>
      </c>
      <c r="O153" s="36">
        <v>16</v>
      </c>
      <c r="P153" s="40">
        <v>9</v>
      </c>
      <c r="Q153" s="36">
        <v>10</v>
      </c>
      <c r="R153" s="36">
        <v>0</v>
      </c>
      <c r="S153" s="36">
        <f t="shared" si="20"/>
        <v>10</v>
      </c>
      <c r="T153" s="40">
        <f t="shared" ref="T153:T176" si="21">F153+(F153*0.5)</f>
        <v>3</v>
      </c>
      <c r="U153" s="64">
        <v>3</v>
      </c>
      <c r="V153" s="84">
        <v>1</v>
      </c>
      <c r="W153" s="41"/>
      <c r="X153" s="41"/>
      <c r="Y153" s="41"/>
      <c r="Z153" s="58"/>
    </row>
    <row r="154" spans="1:26" x14ac:dyDescent="0.25">
      <c r="A154" s="155" t="s">
        <v>159</v>
      </c>
      <c r="B154" s="64">
        <v>31</v>
      </c>
      <c r="C154" s="31">
        <v>11</v>
      </c>
      <c r="D154" s="31">
        <v>5</v>
      </c>
      <c r="E154" s="31"/>
      <c r="F154" s="78">
        <f t="shared" si="18"/>
        <v>5</v>
      </c>
      <c r="G154" s="118">
        <v>8</v>
      </c>
      <c r="H154" s="58"/>
      <c r="I154" s="56"/>
      <c r="J154" s="56"/>
      <c r="K154" s="185"/>
      <c r="L154" s="26"/>
      <c r="M154" s="221">
        <v>38</v>
      </c>
      <c r="N154" s="198">
        <f t="shared" si="19"/>
        <v>0.22580645161290322</v>
      </c>
      <c r="O154" s="32">
        <v>10</v>
      </c>
      <c r="P154" s="65">
        <v>16</v>
      </c>
      <c r="Q154" s="32">
        <v>0</v>
      </c>
      <c r="R154" s="32">
        <v>1</v>
      </c>
      <c r="S154" s="32">
        <f t="shared" si="20"/>
        <v>1</v>
      </c>
      <c r="T154" s="65">
        <f t="shared" si="21"/>
        <v>7.5</v>
      </c>
      <c r="U154" s="64">
        <v>4</v>
      </c>
      <c r="V154" s="84">
        <v>4</v>
      </c>
      <c r="W154" s="41"/>
      <c r="X154" s="41"/>
      <c r="Y154" s="41"/>
      <c r="Z154" s="58"/>
    </row>
    <row r="155" spans="1:26" x14ac:dyDescent="0.25">
      <c r="A155" s="155" t="s">
        <v>160</v>
      </c>
      <c r="B155" s="64">
        <v>32</v>
      </c>
      <c r="C155" s="31">
        <v>6</v>
      </c>
      <c r="D155" s="31">
        <v>4</v>
      </c>
      <c r="E155" s="31"/>
      <c r="F155" s="78">
        <f t="shared" si="18"/>
        <v>4</v>
      </c>
      <c r="G155" s="118">
        <v>8</v>
      </c>
      <c r="H155" s="58"/>
      <c r="I155" s="56"/>
      <c r="J155" s="56"/>
      <c r="K155" s="185"/>
      <c r="L155" s="26"/>
      <c r="M155" s="221">
        <v>50</v>
      </c>
      <c r="N155" s="198">
        <f t="shared" si="19"/>
        <v>0.5625</v>
      </c>
      <c r="O155" s="32">
        <v>3</v>
      </c>
      <c r="P155" s="65">
        <v>9</v>
      </c>
      <c r="Q155" s="36">
        <v>10</v>
      </c>
      <c r="R155" s="36">
        <v>0</v>
      </c>
      <c r="S155" s="36">
        <f t="shared" si="20"/>
        <v>10</v>
      </c>
      <c r="T155" s="40">
        <f t="shared" si="21"/>
        <v>6</v>
      </c>
      <c r="U155" s="64">
        <v>7</v>
      </c>
      <c r="V155" s="84">
        <v>1</v>
      </c>
      <c r="W155" s="41"/>
      <c r="X155" s="41"/>
      <c r="Y155" s="41"/>
      <c r="Z155" s="58"/>
    </row>
    <row r="156" spans="1:26" x14ac:dyDescent="0.25">
      <c r="A156" s="155" t="s">
        <v>161</v>
      </c>
      <c r="B156" s="64">
        <v>0</v>
      </c>
      <c r="C156" s="31"/>
      <c r="D156" s="31"/>
      <c r="E156" s="31"/>
      <c r="F156" s="78">
        <f t="shared" si="18"/>
        <v>0</v>
      </c>
      <c r="G156" s="118"/>
      <c r="H156" s="58"/>
      <c r="I156" s="56"/>
      <c r="J156" s="56"/>
      <c r="K156" s="185"/>
      <c r="L156" s="26"/>
      <c r="M156" s="221">
        <v>10</v>
      </c>
      <c r="N156" s="198"/>
      <c r="O156" s="32"/>
      <c r="P156" s="65"/>
      <c r="Q156" s="32"/>
      <c r="R156" s="32"/>
      <c r="S156" s="32">
        <f t="shared" si="20"/>
        <v>0</v>
      </c>
      <c r="T156" s="65">
        <f t="shared" si="21"/>
        <v>0</v>
      </c>
      <c r="U156" s="64"/>
      <c r="V156" s="84"/>
      <c r="W156" s="41"/>
      <c r="X156" s="41"/>
      <c r="Y156" s="41"/>
      <c r="Z156" s="58"/>
    </row>
    <row r="157" spans="1:26" x14ac:dyDescent="0.25">
      <c r="A157" s="155" t="s">
        <v>162</v>
      </c>
      <c r="B157" s="64">
        <v>0</v>
      </c>
      <c r="C157" s="31"/>
      <c r="D157" s="31"/>
      <c r="E157" s="31"/>
      <c r="F157" s="78">
        <f t="shared" si="18"/>
        <v>0</v>
      </c>
      <c r="G157" s="118"/>
      <c r="H157" s="58"/>
      <c r="I157" s="56"/>
      <c r="J157" s="56"/>
      <c r="K157" s="185"/>
      <c r="L157" s="26"/>
      <c r="M157" s="221">
        <v>0</v>
      </c>
      <c r="N157" s="198"/>
      <c r="O157" s="32"/>
      <c r="P157" s="65"/>
      <c r="Q157" s="32"/>
      <c r="R157" s="32"/>
      <c r="S157" s="32">
        <f t="shared" si="20"/>
        <v>0</v>
      </c>
      <c r="T157" s="65">
        <f t="shared" si="21"/>
        <v>0</v>
      </c>
      <c r="U157" s="64"/>
      <c r="V157" s="84"/>
      <c r="W157" s="41"/>
      <c r="X157" s="41"/>
      <c r="Y157" s="41"/>
      <c r="Z157" s="58"/>
    </row>
    <row r="158" spans="1:26" x14ac:dyDescent="0.25">
      <c r="A158" s="155" t="s">
        <v>163</v>
      </c>
      <c r="B158" s="64">
        <v>0</v>
      </c>
      <c r="C158" s="31"/>
      <c r="D158" s="31"/>
      <c r="E158" s="31"/>
      <c r="F158" s="78">
        <f t="shared" si="18"/>
        <v>0</v>
      </c>
      <c r="G158" s="118"/>
      <c r="H158" s="58"/>
      <c r="I158" s="56"/>
      <c r="J158" s="56"/>
      <c r="K158" s="185"/>
      <c r="L158" s="26"/>
      <c r="M158" s="221">
        <v>4</v>
      </c>
      <c r="N158" s="198"/>
      <c r="O158" s="32"/>
      <c r="P158" s="65"/>
      <c r="Q158" s="32"/>
      <c r="R158" s="32"/>
      <c r="S158" s="32">
        <f t="shared" si="20"/>
        <v>0</v>
      </c>
      <c r="T158" s="65">
        <f t="shared" si="21"/>
        <v>0</v>
      </c>
      <c r="U158" s="64"/>
      <c r="V158" s="84"/>
      <c r="W158" s="41"/>
      <c r="X158" s="41"/>
      <c r="Y158" s="41"/>
      <c r="Z158" s="58"/>
    </row>
    <row r="159" spans="1:26" x14ac:dyDescent="0.25">
      <c r="A159" s="156" t="s">
        <v>269</v>
      </c>
      <c r="B159" s="36">
        <v>138</v>
      </c>
      <c r="C159" s="33"/>
      <c r="D159" s="33">
        <v>3</v>
      </c>
      <c r="E159" s="33"/>
      <c r="F159" s="35">
        <f t="shared" si="18"/>
        <v>3</v>
      </c>
      <c r="G159" s="131">
        <v>2</v>
      </c>
      <c r="H159" s="58"/>
      <c r="I159" s="56"/>
      <c r="J159" s="56"/>
      <c r="K159" s="185"/>
      <c r="L159" s="26"/>
      <c r="M159" s="221">
        <v>53</v>
      </c>
      <c r="N159" s="198">
        <f t="shared" si="19"/>
        <v>-0.61594202898550721</v>
      </c>
      <c r="O159" s="64"/>
      <c r="P159" s="79"/>
      <c r="Q159" s="36">
        <v>5</v>
      </c>
      <c r="R159" s="36">
        <v>0</v>
      </c>
      <c r="S159" s="36">
        <f t="shared" si="20"/>
        <v>5</v>
      </c>
      <c r="T159" s="40">
        <f t="shared" si="21"/>
        <v>4.5</v>
      </c>
      <c r="U159" s="64">
        <v>2</v>
      </c>
      <c r="V159" s="84">
        <v>0</v>
      </c>
      <c r="W159" s="41"/>
      <c r="X159" s="41"/>
      <c r="Y159" s="41"/>
      <c r="Z159" s="58"/>
    </row>
    <row r="160" spans="1:26" x14ac:dyDescent="0.25">
      <c r="A160" s="156" t="s">
        <v>164</v>
      </c>
      <c r="B160" s="36">
        <v>99</v>
      </c>
      <c r="C160" s="33"/>
      <c r="D160" s="33">
        <v>9</v>
      </c>
      <c r="E160" s="33">
        <v>1</v>
      </c>
      <c r="F160" s="35">
        <f t="shared" si="18"/>
        <v>10</v>
      </c>
      <c r="G160" s="131">
        <v>3</v>
      </c>
      <c r="H160" s="58"/>
      <c r="I160" s="56"/>
      <c r="J160" s="56"/>
      <c r="K160" s="185"/>
      <c r="L160" s="26"/>
      <c r="M160" s="221">
        <v>109</v>
      </c>
      <c r="N160" s="198">
        <f t="shared" si="19"/>
        <v>0.10101010101010101</v>
      </c>
      <c r="O160" s="64"/>
      <c r="P160" s="79"/>
      <c r="Q160" s="36">
        <v>22</v>
      </c>
      <c r="R160" s="36">
        <v>0</v>
      </c>
      <c r="S160" s="36">
        <f t="shared" si="20"/>
        <v>22</v>
      </c>
      <c r="T160" s="40">
        <f t="shared" si="21"/>
        <v>15</v>
      </c>
      <c r="U160" s="64">
        <v>1</v>
      </c>
      <c r="V160" s="84">
        <v>0</v>
      </c>
      <c r="W160" s="41"/>
      <c r="X160" s="41"/>
      <c r="Y160" s="41"/>
      <c r="Z160" s="58"/>
    </row>
    <row r="161" spans="1:26" x14ac:dyDescent="0.25">
      <c r="A161" s="155" t="s">
        <v>165</v>
      </c>
      <c r="B161" s="59">
        <v>469</v>
      </c>
      <c r="C161" s="31">
        <v>96</v>
      </c>
      <c r="D161" s="31">
        <v>49</v>
      </c>
      <c r="E161" s="31"/>
      <c r="F161" s="78">
        <f t="shared" si="18"/>
        <v>49</v>
      </c>
      <c r="G161" s="118">
        <v>32</v>
      </c>
      <c r="H161" s="58"/>
      <c r="I161" s="56"/>
      <c r="J161" s="56"/>
      <c r="K161" s="185"/>
      <c r="L161" s="26"/>
      <c r="M161" s="215">
        <v>741</v>
      </c>
      <c r="N161" s="198">
        <f t="shared" si="19"/>
        <v>0.57995735607675902</v>
      </c>
      <c r="O161" s="32">
        <v>115</v>
      </c>
      <c r="P161" s="65">
        <f t="shared" ref="P161:P176" si="22">C161+(C161*0.5)</f>
        <v>144</v>
      </c>
      <c r="Q161" s="36">
        <v>96</v>
      </c>
      <c r="R161" s="36">
        <v>0</v>
      </c>
      <c r="S161" s="36">
        <f t="shared" si="20"/>
        <v>96</v>
      </c>
      <c r="T161" s="40">
        <f t="shared" si="21"/>
        <v>73.5</v>
      </c>
      <c r="U161" s="64">
        <v>69</v>
      </c>
      <c r="V161" s="84">
        <v>0</v>
      </c>
      <c r="W161" s="41"/>
      <c r="X161" s="41"/>
      <c r="Y161" s="41"/>
      <c r="Z161" s="58"/>
    </row>
    <row r="162" spans="1:26" x14ac:dyDescent="0.25">
      <c r="A162" s="155" t="s">
        <v>166</v>
      </c>
      <c r="B162" s="59">
        <v>1480</v>
      </c>
      <c r="C162" s="31">
        <v>362</v>
      </c>
      <c r="D162" s="31">
        <v>107</v>
      </c>
      <c r="E162" s="31"/>
      <c r="F162" s="78">
        <f t="shared" si="18"/>
        <v>107</v>
      </c>
      <c r="G162" s="118">
        <v>138</v>
      </c>
      <c r="H162" s="58"/>
      <c r="I162" s="56"/>
      <c r="J162" s="56"/>
      <c r="K162" s="185"/>
      <c r="L162" s="26"/>
      <c r="M162" s="215">
        <v>2282</v>
      </c>
      <c r="N162" s="198">
        <f t="shared" si="19"/>
        <v>0.54189189189189191</v>
      </c>
      <c r="O162" s="32">
        <v>424</v>
      </c>
      <c r="P162" s="65">
        <f t="shared" si="22"/>
        <v>543</v>
      </c>
      <c r="Q162" s="36">
        <v>167</v>
      </c>
      <c r="R162" s="36">
        <v>0</v>
      </c>
      <c r="S162" s="36">
        <f t="shared" si="20"/>
        <v>167</v>
      </c>
      <c r="T162" s="40">
        <f t="shared" si="21"/>
        <v>160.5</v>
      </c>
      <c r="U162" s="64">
        <v>223</v>
      </c>
      <c r="V162" s="84">
        <v>0</v>
      </c>
      <c r="W162" s="41"/>
      <c r="X162" s="41"/>
      <c r="Y162" s="41"/>
      <c r="Z162" s="58"/>
    </row>
    <row r="163" spans="1:26" x14ac:dyDescent="0.25">
      <c r="A163" s="155" t="s">
        <v>167</v>
      </c>
      <c r="B163" s="59">
        <v>98</v>
      </c>
      <c r="C163" s="31">
        <v>14</v>
      </c>
      <c r="D163" s="31">
        <v>8</v>
      </c>
      <c r="E163" s="31"/>
      <c r="F163" s="78">
        <f t="shared" si="18"/>
        <v>8</v>
      </c>
      <c r="G163" s="118">
        <v>24</v>
      </c>
      <c r="H163" s="58"/>
      <c r="I163" s="56"/>
      <c r="J163" s="56"/>
      <c r="K163" s="185"/>
      <c r="L163" s="26"/>
      <c r="M163" s="215">
        <v>97</v>
      </c>
      <c r="N163" s="198">
        <f t="shared" si="19"/>
        <v>-1.020408163265306E-2</v>
      </c>
      <c r="O163" s="32">
        <v>20</v>
      </c>
      <c r="P163" s="65">
        <f t="shared" si="22"/>
        <v>21</v>
      </c>
      <c r="Q163" s="36">
        <v>13</v>
      </c>
      <c r="R163" s="36">
        <v>0</v>
      </c>
      <c r="S163" s="36">
        <f t="shared" si="20"/>
        <v>13</v>
      </c>
      <c r="T163" s="40">
        <f t="shared" si="21"/>
        <v>12</v>
      </c>
      <c r="U163" s="64">
        <v>7</v>
      </c>
      <c r="V163" s="84">
        <v>0</v>
      </c>
      <c r="W163" s="41"/>
      <c r="X163" s="41"/>
      <c r="Y163" s="41"/>
      <c r="Z163" s="58"/>
    </row>
    <row r="164" spans="1:26" x14ac:dyDescent="0.25">
      <c r="A164" s="156" t="s">
        <v>168</v>
      </c>
      <c r="B164" s="125">
        <v>420</v>
      </c>
      <c r="C164" s="33">
        <v>6</v>
      </c>
      <c r="D164" s="33">
        <v>11</v>
      </c>
      <c r="E164" s="33"/>
      <c r="F164" s="35">
        <f t="shared" si="18"/>
        <v>11</v>
      </c>
      <c r="G164" s="131">
        <v>7</v>
      </c>
      <c r="H164" s="58"/>
      <c r="I164" s="56"/>
      <c r="J164" s="56"/>
      <c r="K164" s="185"/>
      <c r="L164" s="26"/>
      <c r="M164" s="264">
        <v>1168</v>
      </c>
      <c r="N164" s="233">
        <f t="shared" si="19"/>
        <v>1.7809523809523808</v>
      </c>
      <c r="O164" s="36">
        <v>55</v>
      </c>
      <c r="P164" s="40">
        <f t="shared" si="22"/>
        <v>9</v>
      </c>
      <c r="Q164" s="36">
        <v>66</v>
      </c>
      <c r="R164" s="36">
        <v>0</v>
      </c>
      <c r="S164" s="36">
        <f t="shared" si="20"/>
        <v>66</v>
      </c>
      <c r="T164" s="40">
        <f t="shared" si="21"/>
        <v>16.5</v>
      </c>
      <c r="U164" s="64">
        <v>35</v>
      </c>
      <c r="V164" s="84">
        <v>0</v>
      </c>
      <c r="W164" s="41"/>
      <c r="X164" s="41"/>
      <c r="Y164" s="41"/>
      <c r="Z164" s="58"/>
    </row>
    <row r="165" spans="1:26" x14ac:dyDescent="0.25">
      <c r="A165" s="155" t="s">
        <v>169</v>
      </c>
      <c r="B165" s="59">
        <v>143</v>
      </c>
      <c r="C165" s="31">
        <v>25</v>
      </c>
      <c r="D165" s="31">
        <v>11</v>
      </c>
      <c r="E165" s="31"/>
      <c r="F165" s="78">
        <f t="shared" si="18"/>
        <v>11</v>
      </c>
      <c r="G165" s="118">
        <v>8</v>
      </c>
      <c r="H165" s="58"/>
      <c r="I165" s="56"/>
      <c r="J165" s="56"/>
      <c r="K165" s="185"/>
      <c r="L165" s="26"/>
      <c r="M165" s="215">
        <v>203</v>
      </c>
      <c r="N165" s="198">
        <f t="shared" si="19"/>
        <v>0.41958041958041958</v>
      </c>
      <c r="O165" s="32">
        <v>35</v>
      </c>
      <c r="P165" s="65">
        <f t="shared" si="22"/>
        <v>37.5</v>
      </c>
      <c r="Q165" s="32">
        <v>4</v>
      </c>
      <c r="R165" s="32">
        <v>0</v>
      </c>
      <c r="S165" s="32">
        <f t="shared" si="20"/>
        <v>4</v>
      </c>
      <c r="T165" s="65">
        <f t="shared" si="21"/>
        <v>16.5</v>
      </c>
      <c r="U165" s="64">
        <v>6</v>
      </c>
      <c r="V165" s="84">
        <v>0</v>
      </c>
      <c r="W165" s="41"/>
      <c r="X165" s="41"/>
      <c r="Y165" s="41"/>
      <c r="Z165" s="58"/>
    </row>
    <row r="166" spans="1:26" x14ac:dyDescent="0.25">
      <c r="A166" s="155" t="s">
        <v>170</v>
      </c>
      <c r="B166" s="59">
        <v>601</v>
      </c>
      <c r="C166" s="31">
        <v>133</v>
      </c>
      <c r="D166" s="31">
        <v>30</v>
      </c>
      <c r="E166" s="31"/>
      <c r="F166" s="78">
        <f t="shared" si="18"/>
        <v>30</v>
      </c>
      <c r="G166" s="118">
        <v>19</v>
      </c>
      <c r="H166" s="58"/>
      <c r="I166" s="56"/>
      <c r="J166" s="56"/>
      <c r="K166" s="185"/>
      <c r="L166" s="26"/>
      <c r="M166" s="215">
        <v>850</v>
      </c>
      <c r="N166" s="198">
        <f t="shared" si="19"/>
        <v>0.41430948419301167</v>
      </c>
      <c r="O166" s="32">
        <v>157</v>
      </c>
      <c r="P166" s="65">
        <f t="shared" si="22"/>
        <v>199.5</v>
      </c>
      <c r="Q166" s="36">
        <v>71</v>
      </c>
      <c r="R166" s="36">
        <v>1</v>
      </c>
      <c r="S166" s="36">
        <f t="shared" si="20"/>
        <v>72</v>
      </c>
      <c r="T166" s="40">
        <f t="shared" si="21"/>
        <v>45</v>
      </c>
      <c r="U166" s="64">
        <v>56</v>
      </c>
      <c r="V166" s="84">
        <v>0</v>
      </c>
      <c r="W166" s="41"/>
      <c r="X166" s="41"/>
      <c r="Y166" s="41"/>
      <c r="Z166" s="58"/>
    </row>
    <row r="167" spans="1:26" x14ac:dyDescent="0.25">
      <c r="A167" s="155" t="s">
        <v>171</v>
      </c>
      <c r="B167" s="59">
        <v>3</v>
      </c>
      <c r="C167" s="31"/>
      <c r="D167" s="31"/>
      <c r="E167" s="31"/>
      <c r="F167" s="78">
        <f t="shared" si="18"/>
        <v>0</v>
      </c>
      <c r="G167" s="118"/>
      <c r="H167" s="58"/>
      <c r="I167" s="56"/>
      <c r="J167" s="56"/>
      <c r="K167" s="185"/>
      <c r="L167" s="26"/>
      <c r="M167" s="215">
        <v>3</v>
      </c>
      <c r="N167" s="198">
        <f t="shared" si="19"/>
        <v>0</v>
      </c>
      <c r="O167" s="64"/>
      <c r="P167" s="79"/>
      <c r="Q167" s="36">
        <v>3</v>
      </c>
      <c r="R167" s="36">
        <v>0</v>
      </c>
      <c r="S167" s="36">
        <f t="shared" si="20"/>
        <v>3</v>
      </c>
      <c r="T167" s="40">
        <f t="shared" si="21"/>
        <v>0</v>
      </c>
      <c r="U167" s="64"/>
      <c r="V167" s="84"/>
      <c r="W167" s="41"/>
      <c r="X167" s="41"/>
      <c r="Y167" s="41"/>
      <c r="Z167" s="58"/>
    </row>
    <row r="168" spans="1:26" x14ac:dyDescent="0.25">
      <c r="A168" s="155" t="s">
        <v>172</v>
      </c>
      <c r="B168" s="59">
        <v>0</v>
      </c>
      <c r="C168" s="31"/>
      <c r="D168" s="31"/>
      <c r="E168" s="31">
        <v>1</v>
      </c>
      <c r="F168" s="78">
        <f t="shared" si="18"/>
        <v>1</v>
      </c>
      <c r="G168" s="118"/>
      <c r="H168" s="58"/>
      <c r="I168" s="56"/>
      <c r="J168" s="56"/>
      <c r="K168" s="185"/>
      <c r="L168" s="26"/>
      <c r="M168" s="215">
        <v>5</v>
      </c>
      <c r="N168" s="198"/>
      <c r="O168" s="64"/>
      <c r="P168" s="79"/>
      <c r="Q168" s="36">
        <v>4</v>
      </c>
      <c r="R168" s="36">
        <v>0</v>
      </c>
      <c r="S168" s="36">
        <f t="shared" si="20"/>
        <v>4</v>
      </c>
      <c r="T168" s="40">
        <f t="shared" si="21"/>
        <v>1.5</v>
      </c>
      <c r="U168" s="64">
        <v>1</v>
      </c>
      <c r="V168" s="84">
        <v>0</v>
      </c>
      <c r="W168" s="41"/>
      <c r="X168" s="41"/>
      <c r="Y168" s="41"/>
      <c r="Z168" s="58"/>
    </row>
    <row r="169" spans="1:26" x14ac:dyDescent="0.25">
      <c r="A169" s="155" t="s">
        <v>173</v>
      </c>
      <c r="B169" s="59">
        <v>27</v>
      </c>
      <c r="C169" s="31"/>
      <c r="D169" s="31">
        <v>3</v>
      </c>
      <c r="E169" s="31"/>
      <c r="F169" s="78">
        <f t="shared" si="18"/>
        <v>3</v>
      </c>
      <c r="G169" s="118">
        <v>2</v>
      </c>
      <c r="H169" s="58"/>
      <c r="I169" s="56"/>
      <c r="J169" s="56"/>
      <c r="K169" s="185"/>
      <c r="L169" s="26"/>
      <c r="M169" s="215">
        <v>13</v>
      </c>
      <c r="N169" s="198">
        <f t="shared" si="19"/>
        <v>-0.51851851851851849</v>
      </c>
      <c r="O169" s="64"/>
      <c r="P169" s="79"/>
      <c r="Q169" s="32">
        <v>2</v>
      </c>
      <c r="R169" s="32">
        <v>0</v>
      </c>
      <c r="S169" s="32">
        <f t="shared" si="20"/>
        <v>2</v>
      </c>
      <c r="T169" s="65">
        <f t="shared" si="21"/>
        <v>4.5</v>
      </c>
      <c r="U169" s="64">
        <v>0</v>
      </c>
      <c r="V169" s="84">
        <v>1</v>
      </c>
      <c r="W169" s="41"/>
      <c r="X169" s="41"/>
      <c r="Y169" s="41"/>
      <c r="Z169" s="58"/>
    </row>
    <row r="170" spans="1:26" x14ac:dyDescent="0.25">
      <c r="A170" s="155" t="s">
        <v>174</v>
      </c>
      <c r="B170" s="59">
        <v>17</v>
      </c>
      <c r="C170" s="31"/>
      <c r="D170" s="31">
        <v>2</v>
      </c>
      <c r="E170" s="31">
        <v>1</v>
      </c>
      <c r="F170" s="78">
        <f t="shared" si="18"/>
        <v>3</v>
      </c>
      <c r="G170" s="118"/>
      <c r="H170" s="58"/>
      <c r="I170" s="56"/>
      <c r="J170" s="56"/>
      <c r="K170" s="185"/>
      <c r="L170" s="26"/>
      <c r="M170" s="215">
        <v>28</v>
      </c>
      <c r="N170" s="198">
        <f t="shared" si="19"/>
        <v>0.6470588235294118</v>
      </c>
      <c r="O170" s="64"/>
      <c r="P170" s="79"/>
      <c r="Q170" s="36">
        <v>7</v>
      </c>
      <c r="R170" s="36">
        <v>0</v>
      </c>
      <c r="S170" s="36">
        <f t="shared" si="20"/>
        <v>7</v>
      </c>
      <c r="T170" s="40">
        <f t="shared" si="21"/>
        <v>4.5</v>
      </c>
      <c r="U170" s="64">
        <v>0</v>
      </c>
      <c r="V170" s="84">
        <v>0</v>
      </c>
      <c r="W170" s="41"/>
      <c r="X170" s="41"/>
      <c r="Y170" s="41"/>
      <c r="Z170" s="58"/>
    </row>
    <row r="171" spans="1:26" x14ac:dyDescent="0.25">
      <c r="A171" s="155" t="s">
        <v>175</v>
      </c>
      <c r="B171" s="59">
        <v>343</v>
      </c>
      <c r="C171" s="31">
        <v>55</v>
      </c>
      <c r="D171" s="31">
        <v>30</v>
      </c>
      <c r="E171" s="31"/>
      <c r="F171" s="78">
        <f t="shared" si="18"/>
        <v>30</v>
      </c>
      <c r="G171" s="118"/>
      <c r="H171" s="58"/>
      <c r="I171" s="56"/>
      <c r="J171" s="56"/>
      <c r="K171" s="185"/>
      <c r="L171" s="26"/>
      <c r="M171" s="215">
        <v>427</v>
      </c>
      <c r="N171" s="198">
        <f t="shared" si="19"/>
        <v>0.24489795918367346</v>
      </c>
      <c r="O171" s="32">
        <v>76</v>
      </c>
      <c r="P171" s="65">
        <f t="shared" si="22"/>
        <v>82.5</v>
      </c>
      <c r="Q171" s="32">
        <v>16</v>
      </c>
      <c r="R171" s="32">
        <v>0</v>
      </c>
      <c r="S171" s="32">
        <f t="shared" si="20"/>
        <v>16</v>
      </c>
      <c r="T171" s="65">
        <f t="shared" si="21"/>
        <v>45</v>
      </c>
      <c r="U171" s="64">
        <v>7</v>
      </c>
      <c r="V171" s="84"/>
      <c r="W171" s="41"/>
      <c r="X171" s="41"/>
      <c r="Y171" s="41"/>
      <c r="Z171" s="58"/>
    </row>
    <row r="172" spans="1:26" x14ac:dyDescent="0.25">
      <c r="A172" s="155" t="s">
        <v>176</v>
      </c>
      <c r="B172" s="59">
        <v>526</v>
      </c>
      <c r="C172" s="31">
        <v>126</v>
      </c>
      <c r="D172" s="31">
        <v>15</v>
      </c>
      <c r="E172" s="31"/>
      <c r="F172" s="78">
        <f t="shared" si="18"/>
        <v>15</v>
      </c>
      <c r="G172" s="118">
        <v>28</v>
      </c>
      <c r="H172" s="58"/>
      <c r="I172" s="56"/>
      <c r="J172" s="56"/>
      <c r="K172" s="185"/>
      <c r="L172" s="26"/>
      <c r="M172" s="215">
        <v>771</v>
      </c>
      <c r="N172" s="198">
        <f t="shared" si="19"/>
        <v>0.46577946768060835</v>
      </c>
      <c r="O172" s="36">
        <v>190</v>
      </c>
      <c r="P172" s="40">
        <f t="shared" si="22"/>
        <v>189</v>
      </c>
      <c r="Q172" s="32">
        <v>16</v>
      </c>
      <c r="R172" s="32">
        <v>0</v>
      </c>
      <c r="S172" s="32">
        <f t="shared" si="20"/>
        <v>16</v>
      </c>
      <c r="T172" s="65">
        <f t="shared" si="21"/>
        <v>22.5</v>
      </c>
      <c r="U172" s="64">
        <v>29</v>
      </c>
      <c r="V172" s="84"/>
      <c r="W172" s="41"/>
      <c r="X172" s="41"/>
      <c r="Y172" s="41"/>
      <c r="Z172" s="58"/>
    </row>
    <row r="173" spans="1:26" x14ac:dyDescent="0.25">
      <c r="A173" s="156" t="s">
        <v>177</v>
      </c>
      <c r="B173" s="125">
        <v>8</v>
      </c>
      <c r="C173" s="33">
        <v>3</v>
      </c>
      <c r="D173" s="33"/>
      <c r="E173" s="33"/>
      <c r="F173" s="35"/>
      <c r="G173" s="131"/>
      <c r="H173" s="58"/>
      <c r="I173" s="56"/>
      <c r="J173" s="56"/>
      <c r="K173" s="185"/>
      <c r="L173" s="26"/>
      <c r="M173" s="264">
        <v>27</v>
      </c>
      <c r="N173" s="233">
        <f t="shared" si="19"/>
        <v>2.375</v>
      </c>
      <c r="O173" s="36">
        <v>5</v>
      </c>
      <c r="P173" s="40">
        <f t="shared" si="22"/>
        <v>4.5</v>
      </c>
      <c r="Q173" s="36">
        <v>1</v>
      </c>
      <c r="R173" s="36">
        <v>0</v>
      </c>
      <c r="S173" s="36">
        <f t="shared" si="20"/>
        <v>1</v>
      </c>
      <c r="T173" s="40">
        <f t="shared" si="21"/>
        <v>0</v>
      </c>
      <c r="U173" s="64">
        <v>1</v>
      </c>
      <c r="V173" s="84"/>
      <c r="W173" s="58"/>
      <c r="X173" s="41"/>
      <c r="Y173" s="41"/>
      <c r="Z173" s="58"/>
    </row>
    <row r="174" spans="1:26" x14ac:dyDescent="0.25">
      <c r="A174" s="156" t="s">
        <v>178</v>
      </c>
      <c r="B174" s="125">
        <v>275</v>
      </c>
      <c r="C174" s="33">
        <v>70</v>
      </c>
      <c r="D174" s="33">
        <v>13</v>
      </c>
      <c r="E174" s="33"/>
      <c r="F174" s="35">
        <f t="shared" si="18"/>
        <v>13</v>
      </c>
      <c r="G174" s="131"/>
      <c r="H174" s="58"/>
      <c r="I174" s="56"/>
      <c r="J174" s="56"/>
      <c r="K174" s="185"/>
      <c r="L174" s="26"/>
      <c r="M174" s="264">
        <v>602</v>
      </c>
      <c r="N174" s="233">
        <f t="shared" si="19"/>
        <v>1.1890909090909092</v>
      </c>
      <c r="O174" s="36">
        <v>111</v>
      </c>
      <c r="P174" s="40">
        <f t="shared" si="22"/>
        <v>105</v>
      </c>
      <c r="Q174" s="36">
        <v>23</v>
      </c>
      <c r="R174" s="36">
        <v>0</v>
      </c>
      <c r="S174" s="36">
        <f t="shared" si="20"/>
        <v>23</v>
      </c>
      <c r="T174" s="40">
        <f t="shared" si="21"/>
        <v>19.5</v>
      </c>
      <c r="U174" s="64">
        <v>15</v>
      </c>
      <c r="V174" s="84"/>
      <c r="W174" s="41"/>
      <c r="X174" s="41"/>
      <c r="Y174" s="41"/>
      <c r="Z174" s="58"/>
    </row>
    <row r="175" spans="1:26" x14ac:dyDescent="0.25">
      <c r="A175" s="155" t="s">
        <v>179</v>
      </c>
      <c r="B175" s="59">
        <v>46</v>
      </c>
      <c r="C175" s="31">
        <v>12</v>
      </c>
      <c r="D175" s="31">
        <v>1</v>
      </c>
      <c r="E175" s="31"/>
      <c r="F175" s="78">
        <f t="shared" si="18"/>
        <v>1</v>
      </c>
      <c r="G175" s="118"/>
      <c r="H175" s="58"/>
      <c r="I175" s="56"/>
      <c r="J175" s="56"/>
      <c r="K175" s="185"/>
      <c r="L175" s="26"/>
      <c r="M175" s="215">
        <v>109</v>
      </c>
      <c r="N175" s="198">
        <f t="shared" si="19"/>
        <v>1.3695652173913044</v>
      </c>
      <c r="O175" s="36">
        <v>32</v>
      </c>
      <c r="P175" s="40">
        <f t="shared" si="22"/>
        <v>18</v>
      </c>
      <c r="Q175" s="32">
        <v>1</v>
      </c>
      <c r="R175" s="32">
        <v>0</v>
      </c>
      <c r="S175" s="32">
        <f t="shared" si="20"/>
        <v>1</v>
      </c>
      <c r="T175" s="65">
        <f t="shared" si="21"/>
        <v>1.5</v>
      </c>
      <c r="U175" s="64">
        <v>2</v>
      </c>
      <c r="V175" s="84"/>
      <c r="W175" s="41"/>
      <c r="X175" s="41"/>
      <c r="Y175" s="41"/>
      <c r="Z175" s="58"/>
    </row>
    <row r="176" spans="1:26" ht="16.5" thickBot="1" x14ac:dyDescent="0.3">
      <c r="A176" s="158" t="s">
        <v>180</v>
      </c>
      <c r="B176" s="66">
        <v>367</v>
      </c>
      <c r="C176" s="113">
        <v>110</v>
      </c>
      <c r="D176" s="113">
        <v>17</v>
      </c>
      <c r="E176" s="113"/>
      <c r="F176" s="120">
        <f t="shared" si="18"/>
        <v>17</v>
      </c>
      <c r="G176" s="119"/>
      <c r="H176" s="58"/>
      <c r="I176" s="56"/>
      <c r="J176" s="56"/>
      <c r="K176" s="185"/>
      <c r="L176" s="26"/>
      <c r="M176" s="216">
        <v>725</v>
      </c>
      <c r="N176" s="199">
        <f t="shared" si="19"/>
        <v>0.97547683923705719</v>
      </c>
      <c r="O176" s="63">
        <v>190</v>
      </c>
      <c r="P176" s="62">
        <f t="shared" si="22"/>
        <v>165</v>
      </c>
      <c r="Q176" s="44">
        <v>14</v>
      </c>
      <c r="R176" s="44">
        <v>0</v>
      </c>
      <c r="S176" s="44">
        <f t="shared" si="20"/>
        <v>14</v>
      </c>
      <c r="T176" s="108">
        <f t="shared" si="21"/>
        <v>25.5</v>
      </c>
      <c r="U176" s="98">
        <v>21</v>
      </c>
      <c r="V176" s="116"/>
      <c r="W176" s="41"/>
      <c r="X176" s="41"/>
      <c r="Y176" s="41"/>
      <c r="Z176" s="58"/>
    </row>
    <row r="177" spans="1:26" s="14" customFormat="1" x14ac:dyDescent="0.25">
      <c r="A177" s="46"/>
      <c r="B177" s="171"/>
      <c r="C177" s="126"/>
      <c r="D177" s="126"/>
      <c r="E177" s="126"/>
      <c r="F177" s="127"/>
      <c r="G177" s="126"/>
      <c r="H177" s="58"/>
      <c r="I177" s="56"/>
      <c r="J177" s="56"/>
      <c r="K177" s="185"/>
      <c r="L177" s="206"/>
      <c r="M177" s="211"/>
      <c r="N177" s="205"/>
      <c r="O177" s="58"/>
      <c r="P177" s="137"/>
      <c r="Q177" s="58"/>
      <c r="R177" s="58"/>
      <c r="S177" s="58"/>
      <c r="T177" s="137"/>
      <c r="U177" s="58"/>
      <c r="V177" s="58"/>
      <c r="W177" s="41"/>
      <c r="X177" s="41"/>
      <c r="Y177" s="41"/>
      <c r="Z177" s="58"/>
    </row>
    <row r="178" spans="1:26" s="14" customFormat="1" ht="16.5" thickBot="1" x14ac:dyDescent="0.3">
      <c r="A178" s="46"/>
      <c r="B178" s="171"/>
      <c r="C178" s="126"/>
      <c r="D178" s="126"/>
      <c r="E178" s="126"/>
      <c r="F178" s="127"/>
      <c r="G178" s="126"/>
      <c r="H178" s="58"/>
      <c r="I178" s="56"/>
      <c r="J178" s="56"/>
      <c r="K178" s="185"/>
      <c r="L178" s="206"/>
      <c r="M178" s="211"/>
      <c r="N178" s="205"/>
      <c r="O178" s="58"/>
      <c r="P178" s="137"/>
      <c r="Q178" s="58"/>
      <c r="R178" s="58"/>
      <c r="S178" s="58"/>
      <c r="T178" s="137"/>
      <c r="U178" s="58"/>
      <c r="V178" s="41">
        <f>SUM(V146:V176)</f>
        <v>1469</v>
      </c>
      <c r="W178" s="41"/>
      <c r="X178" s="41"/>
      <c r="Y178" s="41"/>
      <c r="Z178" s="58"/>
    </row>
    <row r="179" spans="1:26" ht="23.25" x14ac:dyDescent="0.35">
      <c r="A179" s="161" t="s">
        <v>181</v>
      </c>
      <c r="B179" s="138"/>
      <c r="C179" s="53"/>
      <c r="D179" s="53"/>
      <c r="E179" s="53"/>
      <c r="F179" s="54">
        <f t="shared" ref="F179" si="23">SUM(D179:E179)</f>
        <v>0</v>
      </c>
      <c r="G179" s="55"/>
      <c r="H179" s="56"/>
      <c r="I179" s="56"/>
      <c r="J179" s="56"/>
      <c r="K179" s="185"/>
      <c r="L179" s="26"/>
      <c r="M179" s="214"/>
      <c r="N179" s="208"/>
      <c r="O179" s="27"/>
      <c r="P179" s="99"/>
      <c r="Q179" s="27"/>
      <c r="R179" s="27"/>
      <c r="S179" s="27"/>
      <c r="T179" s="99"/>
      <c r="U179" s="27"/>
      <c r="V179" s="141"/>
      <c r="W179" s="41"/>
      <c r="X179" s="41"/>
      <c r="Y179" s="41"/>
      <c r="Z179" s="58"/>
    </row>
    <row r="180" spans="1:26" x14ac:dyDescent="0.25">
      <c r="A180" s="155" t="s">
        <v>271</v>
      </c>
      <c r="B180" s="4">
        <v>0</v>
      </c>
      <c r="C180" s="4"/>
      <c r="D180" s="4"/>
      <c r="E180" s="4"/>
      <c r="F180" s="4"/>
      <c r="G180" s="142"/>
      <c r="H180" s="56" t="s">
        <v>270</v>
      </c>
      <c r="I180" s="56"/>
      <c r="J180" s="56"/>
      <c r="K180" s="185"/>
      <c r="L180" s="26"/>
      <c r="M180" s="220">
        <v>9</v>
      </c>
      <c r="N180" s="192"/>
      <c r="O180" s="212">
        <v>5</v>
      </c>
      <c r="P180" s="79"/>
      <c r="Q180" s="64">
        <v>2</v>
      </c>
      <c r="R180" s="64">
        <v>0</v>
      </c>
      <c r="S180" s="64">
        <f>Q180+R180</f>
        <v>2</v>
      </c>
      <c r="T180" s="4"/>
      <c r="U180" s="64">
        <v>1</v>
      </c>
      <c r="V180" s="84"/>
      <c r="W180" s="41"/>
      <c r="X180" s="41"/>
      <c r="Y180" s="41"/>
      <c r="Z180" s="58"/>
    </row>
    <row r="181" spans="1:26" s="14" customFormat="1" x14ac:dyDescent="0.25">
      <c r="A181" s="155" t="s">
        <v>182</v>
      </c>
      <c r="B181" s="59">
        <v>290</v>
      </c>
      <c r="C181" s="31">
        <v>137</v>
      </c>
      <c r="D181" s="101">
        <v>30</v>
      </c>
      <c r="E181" s="31"/>
      <c r="F181" s="101">
        <f t="shared" ref="F181:F205" si="24">E181+D181</f>
        <v>30</v>
      </c>
      <c r="G181" s="139">
        <v>65</v>
      </c>
      <c r="H181" s="56"/>
      <c r="I181" s="56"/>
      <c r="J181" s="56"/>
      <c r="K181" s="185"/>
      <c r="L181" s="26"/>
      <c r="M181" s="215">
        <v>331</v>
      </c>
      <c r="N181" s="198">
        <f t="shared" si="19"/>
        <v>0.14137931034482759</v>
      </c>
      <c r="O181" s="193">
        <v>171</v>
      </c>
      <c r="P181" s="65">
        <f>C181+(C181*0.5)</f>
        <v>205.5</v>
      </c>
      <c r="Q181" s="32">
        <v>42</v>
      </c>
      <c r="R181" s="32">
        <v>0</v>
      </c>
      <c r="S181" s="32">
        <f t="shared" ref="S181:S205" si="25">Q181+R181</f>
        <v>42</v>
      </c>
      <c r="T181" s="65">
        <f>F181+(F181*0.5)</f>
        <v>45</v>
      </c>
      <c r="U181" s="64">
        <v>28</v>
      </c>
      <c r="V181" s="84">
        <v>4</v>
      </c>
      <c r="W181" s="41"/>
      <c r="X181" s="41"/>
      <c r="Y181" s="41"/>
      <c r="Z181" s="58"/>
    </row>
    <row r="182" spans="1:26" x14ac:dyDescent="0.25">
      <c r="A182" s="155" t="s">
        <v>183</v>
      </c>
      <c r="B182" s="59">
        <v>0</v>
      </c>
      <c r="C182" s="31"/>
      <c r="D182" s="31"/>
      <c r="E182" s="31"/>
      <c r="F182" s="101">
        <f t="shared" si="24"/>
        <v>0</v>
      </c>
      <c r="G182" s="118"/>
      <c r="H182" s="56"/>
      <c r="I182" s="56"/>
      <c r="J182" s="56"/>
      <c r="K182" s="185"/>
      <c r="L182" s="26"/>
      <c r="M182" s="215">
        <v>1</v>
      </c>
      <c r="N182" s="198"/>
      <c r="O182" s="193" t="s">
        <v>272</v>
      </c>
      <c r="P182" s="65"/>
      <c r="Q182" s="140"/>
      <c r="R182" s="140"/>
      <c r="S182" s="140"/>
      <c r="T182" s="140"/>
      <c r="U182" s="4"/>
      <c r="V182" s="142"/>
      <c r="W182" s="41"/>
      <c r="X182" s="41"/>
      <c r="Y182" s="41"/>
      <c r="Z182" s="58"/>
    </row>
    <row r="183" spans="1:26" x14ac:dyDescent="0.25">
      <c r="A183" s="156" t="s">
        <v>184</v>
      </c>
      <c r="B183" s="125">
        <v>8</v>
      </c>
      <c r="C183" s="33"/>
      <c r="D183" s="33">
        <v>10</v>
      </c>
      <c r="E183" s="33"/>
      <c r="F183" s="130">
        <f t="shared" si="24"/>
        <v>10</v>
      </c>
      <c r="G183" s="131"/>
      <c r="H183" s="56"/>
      <c r="I183" s="56"/>
      <c r="J183" s="56"/>
      <c r="K183" s="185"/>
      <c r="L183" s="26"/>
      <c r="M183" s="264">
        <v>51</v>
      </c>
      <c r="N183" s="233">
        <f t="shared" si="19"/>
        <v>5.375</v>
      </c>
      <c r="O183" s="196"/>
      <c r="P183" s="79"/>
      <c r="Q183" s="36">
        <v>20</v>
      </c>
      <c r="R183" s="36">
        <v>0</v>
      </c>
      <c r="S183" s="36">
        <f>Q183+R183</f>
        <v>20</v>
      </c>
      <c r="T183" s="40">
        <f>F183+(F183*0.5)</f>
        <v>15</v>
      </c>
      <c r="U183" s="64">
        <v>12</v>
      </c>
      <c r="V183" s="84">
        <v>8</v>
      </c>
      <c r="W183" s="41"/>
      <c r="X183" s="41"/>
      <c r="Y183" s="41"/>
      <c r="Z183" s="58"/>
    </row>
    <row r="184" spans="1:26" x14ac:dyDescent="0.25">
      <c r="A184" s="156" t="s">
        <v>185</v>
      </c>
      <c r="B184" s="125">
        <v>11</v>
      </c>
      <c r="C184" s="33">
        <v>2</v>
      </c>
      <c r="D184" s="33"/>
      <c r="E184" s="33"/>
      <c r="F184" s="130">
        <f t="shared" si="24"/>
        <v>0</v>
      </c>
      <c r="G184" s="131">
        <v>1</v>
      </c>
      <c r="H184" s="56"/>
      <c r="I184" s="56"/>
      <c r="J184" s="56"/>
      <c r="K184" s="185"/>
      <c r="L184" s="26"/>
      <c r="M184" s="264">
        <v>38</v>
      </c>
      <c r="N184" s="233">
        <f t="shared" si="19"/>
        <v>2.4545454545454546</v>
      </c>
      <c r="O184" s="194">
        <v>3</v>
      </c>
      <c r="P184" s="40">
        <v>3</v>
      </c>
      <c r="Q184" s="36">
        <v>5</v>
      </c>
      <c r="R184" s="36">
        <v>0</v>
      </c>
      <c r="S184" s="36">
        <f t="shared" si="25"/>
        <v>5</v>
      </c>
      <c r="T184" s="40">
        <f>F185+(F185*0.5)</f>
        <v>4.5</v>
      </c>
      <c r="U184" s="64">
        <v>0</v>
      </c>
      <c r="V184" s="84"/>
      <c r="W184" s="41"/>
      <c r="X184" s="41"/>
      <c r="Y184" s="41"/>
      <c r="Z184" s="58"/>
    </row>
    <row r="185" spans="1:26" x14ac:dyDescent="0.25">
      <c r="A185" s="156" t="s">
        <v>186</v>
      </c>
      <c r="B185" s="125">
        <v>26</v>
      </c>
      <c r="C185" s="33">
        <v>6</v>
      </c>
      <c r="D185" s="33">
        <v>3</v>
      </c>
      <c r="E185" s="33"/>
      <c r="F185" s="130">
        <f t="shared" si="24"/>
        <v>3</v>
      </c>
      <c r="G185" s="131"/>
      <c r="H185" s="56"/>
      <c r="I185" s="56"/>
      <c r="J185" s="56"/>
      <c r="K185" s="185"/>
      <c r="L185" s="26"/>
      <c r="M185" s="264">
        <v>125</v>
      </c>
      <c r="N185" s="233">
        <f t="shared" si="19"/>
        <v>3.8076923076923075</v>
      </c>
      <c r="O185" s="194">
        <v>39</v>
      </c>
      <c r="P185" s="40">
        <f>C185+(C185*0.5)</f>
        <v>9</v>
      </c>
      <c r="Q185" s="36">
        <v>18</v>
      </c>
      <c r="R185" s="36">
        <v>0</v>
      </c>
      <c r="S185" s="36">
        <f t="shared" si="25"/>
        <v>18</v>
      </c>
      <c r="T185" s="40">
        <f>F185+(F185*0.5)</f>
        <v>4.5</v>
      </c>
      <c r="U185" s="64">
        <v>1</v>
      </c>
      <c r="V185" s="84"/>
      <c r="W185" s="41"/>
      <c r="X185" s="41"/>
      <c r="Y185" s="41"/>
      <c r="Z185" s="58"/>
    </row>
    <row r="186" spans="1:26" x14ac:dyDescent="0.25">
      <c r="A186" s="155" t="s">
        <v>187</v>
      </c>
      <c r="B186" s="59">
        <v>0</v>
      </c>
      <c r="C186" s="31"/>
      <c r="D186" s="31"/>
      <c r="E186" s="31"/>
      <c r="F186" s="101">
        <f t="shared" si="24"/>
        <v>0</v>
      </c>
      <c r="G186" s="118"/>
      <c r="H186" s="56"/>
      <c r="I186" s="56"/>
      <c r="J186" s="56"/>
      <c r="K186" s="185"/>
      <c r="L186" s="26"/>
      <c r="M186" s="215">
        <v>0</v>
      </c>
      <c r="N186" s="198"/>
      <c r="O186" s="193" t="s">
        <v>265</v>
      </c>
      <c r="P186" s="65"/>
      <c r="Q186" s="32"/>
      <c r="R186" s="32"/>
      <c r="S186" s="32"/>
      <c r="T186" s="65"/>
      <c r="U186" s="64"/>
      <c r="V186" s="84"/>
      <c r="W186" s="41"/>
      <c r="X186" s="41"/>
      <c r="Y186" s="41"/>
      <c r="Z186" s="58"/>
    </row>
    <row r="187" spans="1:26" x14ac:dyDescent="0.25">
      <c r="A187" s="156" t="s">
        <v>188</v>
      </c>
      <c r="B187" s="125">
        <v>44</v>
      </c>
      <c r="C187" s="33">
        <v>13</v>
      </c>
      <c r="D187" s="33">
        <v>4</v>
      </c>
      <c r="E187" s="33"/>
      <c r="F187" s="130">
        <f t="shared" si="24"/>
        <v>4</v>
      </c>
      <c r="G187" s="131"/>
      <c r="H187" s="56"/>
      <c r="I187" s="56"/>
      <c r="J187" s="56"/>
      <c r="K187" s="185"/>
      <c r="L187" s="26"/>
      <c r="M187" s="264">
        <v>124</v>
      </c>
      <c r="N187" s="233">
        <f t="shared" si="19"/>
        <v>1.8181818181818181</v>
      </c>
      <c r="O187" s="194">
        <v>31</v>
      </c>
      <c r="P187" s="40">
        <f t="shared" ref="P187:P205" si="26">C187+(C187*0.5)</f>
        <v>19.5</v>
      </c>
      <c r="Q187" s="36">
        <v>9</v>
      </c>
      <c r="R187" s="36">
        <v>0</v>
      </c>
      <c r="S187" s="36">
        <f t="shared" si="25"/>
        <v>9</v>
      </c>
      <c r="T187" s="40">
        <f t="shared" ref="T187:T205" si="27">F187+(F187*0.5)</f>
        <v>6</v>
      </c>
      <c r="U187" s="64">
        <v>6</v>
      </c>
      <c r="V187" s="84">
        <v>1</v>
      </c>
      <c r="W187" s="41"/>
      <c r="X187" s="41"/>
      <c r="Y187" s="41"/>
      <c r="Z187" s="58"/>
    </row>
    <row r="188" spans="1:26" x14ac:dyDescent="0.25">
      <c r="A188" s="155" t="s">
        <v>189</v>
      </c>
      <c r="B188" s="59">
        <v>2</v>
      </c>
      <c r="C188" s="31"/>
      <c r="D188" s="31">
        <v>1</v>
      </c>
      <c r="E188" s="31"/>
      <c r="F188" s="101">
        <f t="shared" si="24"/>
        <v>1</v>
      </c>
      <c r="G188" s="118"/>
      <c r="H188" s="56"/>
      <c r="I188" s="56"/>
      <c r="J188" s="56"/>
      <c r="K188" s="185"/>
      <c r="L188" s="26"/>
      <c r="M188" s="215">
        <v>2</v>
      </c>
      <c r="N188" s="198">
        <f t="shared" si="19"/>
        <v>0</v>
      </c>
      <c r="O188" s="193">
        <v>0</v>
      </c>
      <c r="P188" s="65">
        <f t="shared" si="26"/>
        <v>0</v>
      </c>
      <c r="Q188" s="32">
        <v>0</v>
      </c>
      <c r="R188" s="32">
        <v>0</v>
      </c>
      <c r="S188" s="32">
        <f t="shared" si="25"/>
        <v>0</v>
      </c>
      <c r="T188" s="65">
        <f t="shared" si="27"/>
        <v>1.5</v>
      </c>
      <c r="U188" s="64">
        <v>0</v>
      </c>
      <c r="V188" s="84">
        <v>0</v>
      </c>
      <c r="W188" s="41"/>
      <c r="X188" s="41"/>
      <c r="Y188" s="41"/>
      <c r="Z188" s="58"/>
    </row>
    <row r="189" spans="1:26" x14ac:dyDescent="0.25">
      <c r="A189" s="155" t="s">
        <v>190</v>
      </c>
      <c r="B189" s="59">
        <v>41</v>
      </c>
      <c r="C189" s="31">
        <v>1</v>
      </c>
      <c r="D189" s="31">
        <v>13</v>
      </c>
      <c r="E189" s="31"/>
      <c r="F189" s="101">
        <f t="shared" si="24"/>
        <v>13</v>
      </c>
      <c r="G189" s="118"/>
      <c r="H189" s="56"/>
      <c r="I189" s="56"/>
      <c r="J189" s="56"/>
      <c r="K189" s="185"/>
      <c r="L189" s="26"/>
      <c r="M189" s="215">
        <v>63</v>
      </c>
      <c r="N189" s="198">
        <f t="shared" si="19"/>
        <v>0.53658536585365857</v>
      </c>
      <c r="O189" s="194">
        <v>4</v>
      </c>
      <c r="P189" s="40">
        <f t="shared" si="26"/>
        <v>1.5</v>
      </c>
      <c r="Q189" s="32">
        <v>7</v>
      </c>
      <c r="R189" s="32">
        <v>0</v>
      </c>
      <c r="S189" s="32">
        <f t="shared" si="25"/>
        <v>7</v>
      </c>
      <c r="T189" s="65">
        <f t="shared" si="27"/>
        <v>19.5</v>
      </c>
      <c r="U189" s="64">
        <v>0</v>
      </c>
      <c r="V189" s="84">
        <v>0</v>
      </c>
      <c r="W189" s="41"/>
      <c r="X189" s="41"/>
      <c r="Y189" s="41"/>
      <c r="Z189" s="58"/>
    </row>
    <row r="190" spans="1:26" s="14" customFormat="1" x14ac:dyDescent="0.25">
      <c r="A190" s="155" t="s">
        <v>273</v>
      </c>
      <c r="B190" s="59">
        <v>0</v>
      </c>
      <c r="C190" s="31"/>
      <c r="D190" s="31"/>
      <c r="E190" s="31"/>
      <c r="F190" s="101"/>
      <c r="G190" s="118"/>
      <c r="H190" s="56" t="s">
        <v>270</v>
      </c>
      <c r="I190" s="56"/>
      <c r="J190" s="56"/>
      <c r="K190" s="185"/>
      <c r="L190" s="26"/>
      <c r="M190" s="215">
        <v>39</v>
      </c>
      <c r="N190" s="198"/>
      <c r="O190" s="196">
        <v>10</v>
      </c>
      <c r="P190" s="79"/>
      <c r="Q190" s="64">
        <v>9</v>
      </c>
      <c r="R190" s="64">
        <v>0</v>
      </c>
      <c r="S190" s="64">
        <f t="shared" si="25"/>
        <v>9</v>
      </c>
      <c r="T190" s="79"/>
      <c r="U190" s="64">
        <v>4</v>
      </c>
      <c r="V190" s="84">
        <v>7</v>
      </c>
      <c r="W190" s="41"/>
      <c r="X190" s="41"/>
      <c r="Y190" s="41"/>
      <c r="Z190" s="58"/>
    </row>
    <row r="191" spans="1:26" s="14" customFormat="1" x14ac:dyDescent="0.25">
      <c r="A191" s="155" t="s">
        <v>242</v>
      </c>
      <c r="B191" s="59">
        <v>0</v>
      </c>
      <c r="C191" s="31"/>
      <c r="D191" s="31"/>
      <c r="E191" s="31"/>
      <c r="F191" s="101"/>
      <c r="G191" s="118"/>
      <c r="H191" s="56" t="s">
        <v>270</v>
      </c>
      <c r="I191" s="56"/>
      <c r="J191" s="56"/>
      <c r="K191" s="185"/>
      <c r="L191" s="26"/>
      <c r="M191" s="215">
        <v>5</v>
      </c>
      <c r="N191" s="198"/>
      <c r="O191" s="196">
        <v>0</v>
      </c>
      <c r="P191" s="79"/>
      <c r="Q191" s="64">
        <v>0</v>
      </c>
      <c r="R191" s="64">
        <v>0</v>
      </c>
      <c r="S191" s="64">
        <f t="shared" si="25"/>
        <v>0</v>
      </c>
      <c r="T191" s="79"/>
      <c r="U191" s="64">
        <v>0</v>
      </c>
      <c r="V191" s="84">
        <v>0</v>
      </c>
      <c r="W191" s="41"/>
      <c r="X191" s="41"/>
      <c r="Y191" s="41"/>
      <c r="Z191" s="58"/>
    </row>
    <row r="192" spans="1:26" s="14" customFormat="1" x14ac:dyDescent="0.25">
      <c r="A192" s="155" t="s">
        <v>241</v>
      </c>
      <c r="B192" s="59">
        <v>0</v>
      </c>
      <c r="C192" s="31"/>
      <c r="D192" s="31"/>
      <c r="E192" s="31"/>
      <c r="F192" s="101"/>
      <c r="G192" s="118"/>
      <c r="H192" s="56" t="s">
        <v>270</v>
      </c>
      <c r="I192" s="56"/>
      <c r="J192" s="56"/>
      <c r="K192" s="185"/>
      <c r="L192" s="26"/>
      <c r="M192" s="215">
        <v>15</v>
      </c>
      <c r="N192" s="198"/>
      <c r="O192" s="196">
        <v>1</v>
      </c>
      <c r="P192" s="79"/>
      <c r="Q192" s="64">
        <v>7</v>
      </c>
      <c r="R192" s="64">
        <v>0</v>
      </c>
      <c r="S192" s="64">
        <f t="shared" si="25"/>
        <v>7</v>
      </c>
      <c r="T192" s="79"/>
      <c r="U192" s="64">
        <v>2</v>
      </c>
      <c r="V192" s="84">
        <v>0</v>
      </c>
      <c r="W192" s="41"/>
      <c r="X192" s="41"/>
      <c r="Y192" s="41"/>
      <c r="Z192" s="58"/>
    </row>
    <row r="193" spans="1:26" x14ac:dyDescent="0.25">
      <c r="A193" s="156" t="s">
        <v>191</v>
      </c>
      <c r="B193" s="125">
        <v>8</v>
      </c>
      <c r="C193" s="33"/>
      <c r="D193" s="33">
        <v>1</v>
      </c>
      <c r="E193" s="33"/>
      <c r="F193" s="130">
        <f t="shared" si="24"/>
        <v>1</v>
      </c>
      <c r="G193" s="131">
        <v>2</v>
      </c>
      <c r="H193" s="56"/>
      <c r="I193" s="56"/>
      <c r="J193" s="56"/>
      <c r="K193" s="185"/>
      <c r="L193" s="26"/>
      <c r="M193" s="264">
        <v>5</v>
      </c>
      <c r="N193" s="233">
        <f t="shared" si="19"/>
        <v>-0.375</v>
      </c>
      <c r="O193" s="194">
        <v>1</v>
      </c>
      <c r="P193" s="40">
        <f t="shared" si="26"/>
        <v>0</v>
      </c>
      <c r="Q193" s="36">
        <v>4</v>
      </c>
      <c r="R193" s="36">
        <v>0</v>
      </c>
      <c r="S193" s="36">
        <f t="shared" si="25"/>
        <v>4</v>
      </c>
      <c r="T193" s="40">
        <f t="shared" si="27"/>
        <v>1.5</v>
      </c>
      <c r="U193" s="64">
        <v>0</v>
      </c>
      <c r="V193" s="84">
        <v>0</v>
      </c>
      <c r="W193" s="41"/>
      <c r="X193" s="41"/>
      <c r="Y193" s="41"/>
      <c r="Z193" s="58"/>
    </row>
    <row r="194" spans="1:26" x14ac:dyDescent="0.25">
      <c r="A194" s="156" t="s">
        <v>192</v>
      </c>
      <c r="B194" s="125">
        <v>11</v>
      </c>
      <c r="C194" s="33"/>
      <c r="D194" s="33">
        <v>4</v>
      </c>
      <c r="E194" s="33"/>
      <c r="F194" s="130">
        <f t="shared" si="24"/>
        <v>4</v>
      </c>
      <c r="G194" s="131">
        <v>1</v>
      </c>
      <c r="H194" s="56"/>
      <c r="I194" s="56"/>
      <c r="J194" s="56"/>
      <c r="K194" s="185"/>
      <c r="L194" s="26"/>
      <c r="M194" s="264">
        <v>8</v>
      </c>
      <c r="N194" s="233">
        <f t="shared" si="19"/>
        <v>-0.27272727272727271</v>
      </c>
      <c r="O194" s="194">
        <v>2</v>
      </c>
      <c r="P194" s="40">
        <f t="shared" si="26"/>
        <v>0</v>
      </c>
      <c r="Q194" s="32">
        <v>2</v>
      </c>
      <c r="R194" s="32">
        <v>0</v>
      </c>
      <c r="S194" s="32">
        <f t="shared" si="25"/>
        <v>2</v>
      </c>
      <c r="T194" s="65">
        <f t="shared" si="27"/>
        <v>6</v>
      </c>
      <c r="U194" s="64">
        <v>1</v>
      </c>
      <c r="V194" s="84">
        <v>1</v>
      </c>
      <c r="W194" s="41"/>
      <c r="X194" s="41"/>
      <c r="Y194" s="41"/>
      <c r="Z194" s="58"/>
    </row>
    <row r="195" spans="1:26" ht="26.25" x14ac:dyDescent="0.25">
      <c r="A195" s="155" t="s">
        <v>193</v>
      </c>
      <c r="B195" s="59">
        <v>17</v>
      </c>
      <c r="C195" s="31">
        <v>6</v>
      </c>
      <c r="D195" s="31">
        <v>4</v>
      </c>
      <c r="E195" s="31"/>
      <c r="F195" s="101">
        <f t="shared" si="24"/>
        <v>4</v>
      </c>
      <c r="G195" s="118"/>
      <c r="H195" s="56"/>
      <c r="I195" s="56"/>
      <c r="J195" s="56"/>
      <c r="K195" s="185"/>
      <c r="L195" s="26"/>
      <c r="M195" s="215">
        <v>17</v>
      </c>
      <c r="N195" s="198">
        <f t="shared" si="19"/>
        <v>0</v>
      </c>
      <c r="O195" s="196">
        <v>5</v>
      </c>
      <c r="P195" s="79">
        <f t="shared" si="26"/>
        <v>9</v>
      </c>
      <c r="Q195" s="64">
        <v>4</v>
      </c>
      <c r="R195" s="64">
        <v>0</v>
      </c>
      <c r="S195" s="64">
        <f t="shared" si="25"/>
        <v>4</v>
      </c>
      <c r="T195" s="79">
        <f t="shared" si="27"/>
        <v>6</v>
      </c>
      <c r="U195" s="64">
        <v>0</v>
      </c>
      <c r="V195" s="84">
        <v>0</v>
      </c>
      <c r="W195" s="41"/>
      <c r="X195" s="41"/>
      <c r="Y195" s="41"/>
      <c r="Z195" s="58"/>
    </row>
    <row r="196" spans="1:26" s="14" customFormat="1" x14ac:dyDescent="0.25">
      <c r="A196" s="155" t="s">
        <v>274</v>
      </c>
      <c r="B196" s="59">
        <v>13</v>
      </c>
      <c r="C196" s="31"/>
      <c r="D196" s="31"/>
      <c r="E196" s="31"/>
      <c r="F196" s="101"/>
      <c r="G196" s="118"/>
      <c r="H196" s="56" t="s">
        <v>270</v>
      </c>
      <c r="I196" s="56"/>
      <c r="J196" s="56"/>
      <c r="K196" s="185"/>
      <c r="L196" s="26"/>
      <c r="M196" s="215">
        <v>45</v>
      </c>
      <c r="N196" s="198">
        <f t="shared" si="19"/>
        <v>2.4615384615384617</v>
      </c>
      <c r="O196" s="193" t="s">
        <v>265</v>
      </c>
      <c r="P196" s="65"/>
      <c r="Q196" s="32"/>
      <c r="R196" s="32"/>
      <c r="S196" s="32"/>
      <c r="T196" s="65"/>
      <c r="U196" s="64"/>
      <c r="V196" s="84"/>
      <c r="W196" s="41"/>
      <c r="X196" s="41"/>
      <c r="Y196" s="41"/>
      <c r="Z196" s="58"/>
    </row>
    <row r="197" spans="1:26" x14ac:dyDescent="0.25">
      <c r="A197" s="155" t="s">
        <v>194</v>
      </c>
      <c r="B197" s="59">
        <v>0</v>
      </c>
      <c r="C197" s="31"/>
      <c r="D197" s="31"/>
      <c r="E197" s="31"/>
      <c r="F197" s="101"/>
      <c r="G197" s="118"/>
      <c r="H197" s="56"/>
      <c r="I197" s="56"/>
      <c r="J197" s="56"/>
      <c r="K197" s="185"/>
      <c r="L197" s="26"/>
      <c r="M197" s="215">
        <v>3</v>
      </c>
      <c r="N197" s="198"/>
      <c r="O197" s="196">
        <v>0</v>
      </c>
      <c r="P197" s="79"/>
      <c r="Q197" s="36">
        <v>1</v>
      </c>
      <c r="R197" s="36">
        <v>0</v>
      </c>
      <c r="S197" s="36">
        <f t="shared" si="25"/>
        <v>1</v>
      </c>
      <c r="T197" s="40">
        <f t="shared" si="27"/>
        <v>0</v>
      </c>
      <c r="U197" s="64">
        <v>1</v>
      </c>
      <c r="V197" s="84"/>
      <c r="W197" s="41"/>
      <c r="X197" s="41"/>
      <c r="Y197" s="41"/>
      <c r="Z197" s="58"/>
    </row>
    <row r="198" spans="1:26" x14ac:dyDescent="0.25">
      <c r="A198" s="156" t="s">
        <v>195</v>
      </c>
      <c r="B198" s="125">
        <v>945</v>
      </c>
      <c r="C198" s="33">
        <v>466</v>
      </c>
      <c r="D198" s="33">
        <v>110</v>
      </c>
      <c r="E198" s="33"/>
      <c r="F198" s="130">
        <f t="shared" si="24"/>
        <v>110</v>
      </c>
      <c r="G198" s="131">
        <v>63</v>
      </c>
      <c r="H198" s="56"/>
      <c r="I198" s="56"/>
      <c r="J198" s="56"/>
      <c r="K198" s="185"/>
      <c r="L198" s="26"/>
      <c r="M198" s="264">
        <v>1839</v>
      </c>
      <c r="N198" s="233">
        <f t="shared" si="19"/>
        <v>0.946031746031746</v>
      </c>
      <c r="O198" s="194">
        <v>913</v>
      </c>
      <c r="P198" s="40">
        <f t="shared" si="26"/>
        <v>699</v>
      </c>
      <c r="Q198" s="36">
        <v>260</v>
      </c>
      <c r="R198" s="36">
        <v>6</v>
      </c>
      <c r="S198" s="36">
        <f t="shared" si="25"/>
        <v>266</v>
      </c>
      <c r="T198" s="40">
        <f t="shared" si="27"/>
        <v>165</v>
      </c>
      <c r="U198" s="64">
        <v>83</v>
      </c>
      <c r="V198" s="84">
        <v>39</v>
      </c>
      <c r="W198" s="41"/>
      <c r="X198" s="41"/>
      <c r="Y198" s="41"/>
      <c r="Z198" s="58"/>
    </row>
    <row r="199" spans="1:26" x14ac:dyDescent="0.25">
      <c r="A199" s="155" t="s">
        <v>196</v>
      </c>
      <c r="B199" s="59">
        <v>64</v>
      </c>
      <c r="C199" s="31">
        <v>32</v>
      </c>
      <c r="D199" s="31">
        <v>5</v>
      </c>
      <c r="E199" s="31"/>
      <c r="F199" s="101">
        <f t="shared" si="24"/>
        <v>5</v>
      </c>
      <c r="G199" s="118"/>
      <c r="H199" s="56"/>
      <c r="I199" s="56"/>
      <c r="J199" s="56"/>
      <c r="K199" s="185"/>
      <c r="L199" s="26"/>
      <c r="M199" s="215">
        <v>125</v>
      </c>
      <c r="N199" s="198">
        <f t="shared" si="19"/>
        <v>0.953125</v>
      </c>
      <c r="O199" s="194">
        <v>78</v>
      </c>
      <c r="P199" s="40">
        <f t="shared" si="26"/>
        <v>48</v>
      </c>
      <c r="Q199" s="32">
        <v>4</v>
      </c>
      <c r="R199" s="32">
        <v>1</v>
      </c>
      <c r="S199" s="32">
        <f t="shared" si="25"/>
        <v>5</v>
      </c>
      <c r="T199" s="65">
        <f t="shared" si="27"/>
        <v>7.5</v>
      </c>
      <c r="U199" s="64">
        <v>7</v>
      </c>
      <c r="V199" s="84">
        <v>1</v>
      </c>
      <c r="W199" s="41"/>
      <c r="X199" s="41"/>
      <c r="Y199" s="41"/>
      <c r="Z199" s="58"/>
    </row>
    <row r="200" spans="1:26" x14ac:dyDescent="0.25">
      <c r="A200" s="155" t="s">
        <v>197</v>
      </c>
      <c r="B200" s="59">
        <v>690</v>
      </c>
      <c r="C200" s="31">
        <v>368</v>
      </c>
      <c r="D200" s="31">
        <v>63</v>
      </c>
      <c r="E200" s="31"/>
      <c r="F200" s="101">
        <f t="shared" si="24"/>
        <v>63</v>
      </c>
      <c r="G200" s="118">
        <v>24</v>
      </c>
      <c r="H200" s="56"/>
      <c r="I200" s="56"/>
      <c r="J200" s="56"/>
      <c r="K200" s="185"/>
      <c r="L200" s="26"/>
      <c r="M200" s="215">
        <v>906</v>
      </c>
      <c r="N200" s="198">
        <f t="shared" si="19"/>
        <v>0.31304347826086959</v>
      </c>
      <c r="O200" s="193">
        <v>436</v>
      </c>
      <c r="P200" s="65">
        <f t="shared" si="26"/>
        <v>552</v>
      </c>
      <c r="Q200" s="36">
        <v>119</v>
      </c>
      <c r="R200" s="36">
        <v>0</v>
      </c>
      <c r="S200" s="36">
        <f t="shared" si="25"/>
        <v>119</v>
      </c>
      <c r="T200" s="40">
        <f t="shared" si="27"/>
        <v>94.5</v>
      </c>
      <c r="U200" s="64">
        <v>26</v>
      </c>
      <c r="V200" s="84">
        <v>47</v>
      </c>
      <c r="W200" s="41"/>
      <c r="X200" s="41"/>
      <c r="Y200" s="41"/>
      <c r="Z200" s="58"/>
    </row>
    <row r="201" spans="1:26" x14ac:dyDescent="0.25">
      <c r="A201" s="155" t="s">
        <v>198</v>
      </c>
      <c r="B201" s="59">
        <v>121</v>
      </c>
      <c r="C201" s="31">
        <v>47</v>
      </c>
      <c r="D201" s="31">
        <v>18</v>
      </c>
      <c r="E201" s="31"/>
      <c r="F201" s="101">
        <f t="shared" si="24"/>
        <v>18</v>
      </c>
      <c r="G201" s="118"/>
      <c r="H201" s="56"/>
      <c r="I201" s="56"/>
      <c r="J201" s="56"/>
      <c r="K201" s="185"/>
      <c r="L201" s="26"/>
      <c r="M201" s="215">
        <v>274</v>
      </c>
      <c r="N201" s="198">
        <f t="shared" si="19"/>
        <v>1.2644628099173554</v>
      </c>
      <c r="O201" s="194">
        <v>80</v>
      </c>
      <c r="P201" s="40">
        <f t="shared" si="26"/>
        <v>70.5</v>
      </c>
      <c r="Q201" s="32">
        <v>0</v>
      </c>
      <c r="R201" s="32">
        <v>0</v>
      </c>
      <c r="S201" s="32">
        <f t="shared" si="25"/>
        <v>0</v>
      </c>
      <c r="T201" s="65">
        <f t="shared" si="27"/>
        <v>27</v>
      </c>
      <c r="U201" s="64">
        <v>3</v>
      </c>
      <c r="V201" s="84">
        <v>4</v>
      </c>
      <c r="W201" s="41"/>
      <c r="X201" s="41"/>
      <c r="Y201" s="41"/>
      <c r="Z201" s="58"/>
    </row>
    <row r="202" spans="1:26" x14ac:dyDescent="0.25">
      <c r="A202" s="155" t="s">
        <v>199</v>
      </c>
      <c r="B202" s="59">
        <v>633</v>
      </c>
      <c r="C202" s="31">
        <v>256</v>
      </c>
      <c r="D202" s="31">
        <v>154</v>
      </c>
      <c r="E202" s="31">
        <v>3</v>
      </c>
      <c r="F202" s="101">
        <f t="shared" si="24"/>
        <v>157</v>
      </c>
      <c r="G202" s="118">
        <v>11</v>
      </c>
      <c r="H202" s="56"/>
      <c r="I202" s="56"/>
      <c r="J202" s="56"/>
      <c r="K202" s="185"/>
      <c r="L202" s="26"/>
      <c r="M202" s="215">
        <v>764</v>
      </c>
      <c r="N202" s="198">
        <f t="shared" si="19"/>
        <v>0.20695102685624012</v>
      </c>
      <c r="O202" s="193">
        <v>353</v>
      </c>
      <c r="P202" s="65">
        <f t="shared" si="26"/>
        <v>384</v>
      </c>
      <c r="Q202" s="32">
        <v>153</v>
      </c>
      <c r="R202" s="32">
        <v>4</v>
      </c>
      <c r="S202" s="32">
        <f t="shared" si="25"/>
        <v>157</v>
      </c>
      <c r="T202" s="65">
        <f t="shared" si="27"/>
        <v>235.5</v>
      </c>
      <c r="U202" s="64">
        <v>13</v>
      </c>
      <c r="V202" s="84">
        <v>22</v>
      </c>
      <c r="W202" s="41"/>
      <c r="X202" s="41"/>
      <c r="Y202" s="41"/>
      <c r="Z202" s="58"/>
    </row>
    <row r="203" spans="1:26" x14ac:dyDescent="0.25">
      <c r="A203" s="155" t="s">
        <v>200</v>
      </c>
      <c r="B203" s="59">
        <v>329</v>
      </c>
      <c r="C203" s="31">
        <v>167</v>
      </c>
      <c r="D203" s="31">
        <v>106</v>
      </c>
      <c r="E203" s="31"/>
      <c r="F203" s="101">
        <f t="shared" si="24"/>
        <v>106</v>
      </c>
      <c r="G203" s="118"/>
      <c r="H203" s="56"/>
      <c r="I203" s="56"/>
      <c r="J203" s="56"/>
      <c r="K203" s="185"/>
      <c r="L203" s="26"/>
      <c r="M203" s="215">
        <v>608</v>
      </c>
      <c r="N203" s="198">
        <f t="shared" si="19"/>
        <v>0.84802431610942253</v>
      </c>
      <c r="O203" s="196">
        <v>263</v>
      </c>
      <c r="P203" s="79">
        <f t="shared" si="26"/>
        <v>250.5</v>
      </c>
      <c r="Q203" s="64">
        <v>125</v>
      </c>
      <c r="R203" s="64">
        <v>3</v>
      </c>
      <c r="S203" s="64">
        <f t="shared" si="25"/>
        <v>128</v>
      </c>
      <c r="T203" s="79">
        <f t="shared" si="27"/>
        <v>159</v>
      </c>
      <c r="U203" s="64">
        <v>12</v>
      </c>
      <c r="V203" s="84">
        <v>9</v>
      </c>
      <c r="W203" s="41"/>
      <c r="X203" s="41"/>
      <c r="Y203" s="41"/>
      <c r="Z203" s="58"/>
    </row>
    <row r="204" spans="1:26" x14ac:dyDescent="0.25">
      <c r="A204" s="155" t="s">
        <v>201</v>
      </c>
      <c r="B204" s="59">
        <v>32</v>
      </c>
      <c r="C204" s="31">
        <v>9</v>
      </c>
      <c r="D204" s="31">
        <v>2</v>
      </c>
      <c r="E204" s="31"/>
      <c r="F204" s="101">
        <f t="shared" si="24"/>
        <v>2</v>
      </c>
      <c r="G204" s="118">
        <v>7</v>
      </c>
      <c r="H204" s="56"/>
      <c r="I204" s="56"/>
      <c r="J204" s="56"/>
      <c r="K204" s="185"/>
      <c r="L204" s="26"/>
      <c r="M204" s="215">
        <v>19</v>
      </c>
      <c r="N204" s="198">
        <f t="shared" si="19"/>
        <v>-0.40625</v>
      </c>
      <c r="O204" s="193">
        <v>1</v>
      </c>
      <c r="P204" s="65">
        <f t="shared" si="26"/>
        <v>13.5</v>
      </c>
      <c r="Q204" s="32">
        <v>2</v>
      </c>
      <c r="R204" s="32">
        <v>0</v>
      </c>
      <c r="S204" s="32">
        <f t="shared" si="25"/>
        <v>2</v>
      </c>
      <c r="T204" s="65">
        <f t="shared" si="27"/>
        <v>3</v>
      </c>
      <c r="U204" s="64">
        <v>0</v>
      </c>
      <c r="V204" s="84">
        <v>2</v>
      </c>
      <c r="W204" s="41"/>
      <c r="X204" s="41"/>
      <c r="Y204" s="41"/>
      <c r="Z204" s="58"/>
    </row>
    <row r="205" spans="1:26" ht="16.5" thickBot="1" x14ac:dyDescent="0.3">
      <c r="A205" s="265" t="s">
        <v>202</v>
      </c>
      <c r="B205" s="266">
        <v>26</v>
      </c>
      <c r="C205" s="267">
        <v>1</v>
      </c>
      <c r="D205" s="267">
        <v>1</v>
      </c>
      <c r="E205" s="267"/>
      <c r="F205" s="268">
        <f t="shared" si="24"/>
        <v>1</v>
      </c>
      <c r="G205" s="269"/>
      <c r="H205" s="56"/>
      <c r="I205" s="56"/>
      <c r="J205" s="56"/>
      <c r="K205" s="185"/>
      <c r="L205" s="26"/>
      <c r="M205" s="270">
        <v>68</v>
      </c>
      <c r="N205" s="271">
        <f t="shared" si="19"/>
        <v>1.6153846153846154</v>
      </c>
      <c r="O205" s="195">
        <v>5</v>
      </c>
      <c r="P205" s="62">
        <f t="shared" si="26"/>
        <v>1.5</v>
      </c>
      <c r="Q205" s="63">
        <v>5</v>
      </c>
      <c r="R205" s="63">
        <v>2</v>
      </c>
      <c r="S205" s="63">
        <f t="shared" si="25"/>
        <v>7</v>
      </c>
      <c r="T205" s="62">
        <f t="shared" si="27"/>
        <v>1.5</v>
      </c>
      <c r="U205" s="98">
        <v>3</v>
      </c>
      <c r="V205" s="116">
        <v>15</v>
      </c>
      <c r="W205" s="41"/>
      <c r="X205" s="41"/>
      <c r="Y205" s="41"/>
      <c r="Z205" s="58"/>
    </row>
    <row r="206" spans="1:26" ht="16.5" thickBot="1" x14ac:dyDescent="0.3">
      <c r="A206" s="67"/>
      <c r="B206" s="171"/>
      <c r="C206" s="47"/>
      <c r="D206" s="47"/>
      <c r="E206" s="47"/>
      <c r="F206" s="48"/>
      <c r="G206" s="47"/>
      <c r="H206" s="56"/>
      <c r="I206" s="56"/>
      <c r="J206" s="56"/>
      <c r="K206" s="185"/>
      <c r="L206" s="26"/>
      <c r="M206" s="219"/>
      <c r="N206" s="207"/>
      <c r="O206" s="58"/>
      <c r="P206" s="143"/>
      <c r="Q206" s="41"/>
      <c r="R206" s="41"/>
      <c r="S206" s="58"/>
      <c r="T206" s="143"/>
      <c r="U206" s="41"/>
      <c r="V206" s="41">
        <f>SUM(V178:V205)</f>
        <v>1629</v>
      </c>
      <c r="W206" s="41"/>
      <c r="X206" s="41"/>
      <c r="Y206" s="41"/>
      <c r="Z206" s="58"/>
    </row>
    <row r="207" spans="1:26" ht="23.25" x14ac:dyDescent="0.35">
      <c r="A207" s="157" t="s">
        <v>203</v>
      </c>
      <c r="B207" s="52"/>
      <c r="C207" s="53"/>
      <c r="D207" s="53"/>
      <c r="E207" s="53"/>
      <c r="F207" s="54"/>
      <c r="G207" s="55"/>
      <c r="H207" s="56"/>
      <c r="I207" s="56"/>
      <c r="J207" s="56"/>
      <c r="K207" s="185"/>
      <c r="L207" s="26"/>
      <c r="M207" s="214"/>
      <c r="N207" s="208"/>
      <c r="O207" s="97"/>
      <c r="P207" s="99"/>
      <c r="Q207" s="97"/>
      <c r="R207" s="97"/>
      <c r="S207" s="97"/>
      <c r="T207" s="99"/>
      <c r="U207" s="97"/>
      <c r="V207" s="109"/>
      <c r="W207" s="41"/>
      <c r="X207" s="41"/>
      <c r="Y207" s="41"/>
      <c r="Z207" s="58"/>
    </row>
    <row r="208" spans="1:26" s="14" customFormat="1" x14ac:dyDescent="0.25">
      <c r="A208" s="155" t="s">
        <v>217</v>
      </c>
      <c r="B208" s="59">
        <v>0</v>
      </c>
      <c r="C208" s="31"/>
      <c r="D208" s="31"/>
      <c r="E208" s="31"/>
      <c r="F208" s="101"/>
      <c r="G208" s="118"/>
      <c r="H208" s="56" t="s">
        <v>270</v>
      </c>
      <c r="I208" s="56"/>
      <c r="J208" s="56"/>
      <c r="K208" s="185"/>
      <c r="L208" s="26"/>
      <c r="M208" s="215">
        <v>25</v>
      </c>
      <c r="N208" s="198"/>
      <c r="O208" s="64"/>
      <c r="P208" s="79"/>
      <c r="Q208" s="64">
        <v>22</v>
      </c>
      <c r="R208" s="64">
        <v>6</v>
      </c>
      <c r="S208" s="64">
        <f>Q208+R208</f>
        <v>28</v>
      </c>
      <c r="T208" s="79">
        <f>F208+(F208*0.5)</f>
        <v>0</v>
      </c>
      <c r="U208" s="64"/>
      <c r="V208" s="84"/>
      <c r="W208" s="41"/>
      <c r="X208" s="41"/>
      <c r="Y208" s="41"/>
      <c r="Z208" s="58"/>
    </row>
    <row r="209" spans="1:26" x14ac:dyDescent="0.25">
      <c r="A209" s="155" t="s">
        <v>204</v>
      </c>
      <c r="B209" s="59">
        <v>356</v>
      </c>
      <c r="C209" s="31"/>
      <c r="D209" s="31"/>
      <c r="E209" s="31"/>
      <c r="F209" s="101"/>
      <c r="G209" s="118"/>
      <c r="H209" s="56"/>
      <c r="I209" s="56"/>
      <c r="J209" s="56"/>
      <c r="K209" s="185"/>
      <c r="L209" s="26"/>
      <c r="M209" s="215">
        <v>356</v>
      </c>
      <c r="N209" s="198">
        <f t="shared" si="19"/>
        <v>0</v>
      </c>
      <c r="O209" s="64"/>
      <c r="P209" s="79"/>
      <c r="Q209" s="64"/>
      <c r="R209" s="64"/>
      <c r="S209" s="64"/>
      <c r="T209" s="79"/>
      <c r="U209" s="64"/>
      <c r="V209" s="84"/>
      <c r="W209" s="41"/>
      <c r="X209" s="41"/>
      <c r="Y209" s="41"/>
      <c r="Z209" s="58"/>
    </row>
    <row r="210" spans="1:26" x14ac:dyDescent="0.25">
      <c r="A210" s="155" t="s">
        <v>205</v>
      </c>
      <c r="B210" s="59">
        <v>302</v>
      </c>
      <c r="C210" s="31"/>
      <c r="D210" s="31"/>
      <c r="E210" s="31"/>
      <c r="F210" s="101"/>
      <c r="G210" s="118"/>
      <c r="H210" s="56"/>
      <c r="I210" s="56"/>
      <c r="J210" s="56"/>
      <c r="K210" s="185"/>
      <c r="L210" s="26"/>
      <c r="M210" s="215">
        <v>378</v>
      </c>
      <c r="N210" s="198">
        <f t="shared" si="19"/>
        <v>0.25165562913907286</v>
      </c>
      <c r="O210" s="64"/>
      <c r="P210" s="79"/>
      <c r="Q210" s="64"/>
      <c r="R210" s="64"/>
      <c r="S210" s="64"/>
      <c r="T210" s="79"/>
      <c r="U210" s="64"/>
      <c r="V210" s="84"/>
      <c r="W210" s="41"/>
      <c r="X210" s="41"/>
      <c r="Y210" s="41"/>
      <c r="Z210" s="58"/>
    </row>
    <row r="211" spans="1:26" x14ac:dyDescent="0.25">
      <c r="A211" s="155" t="s">
        <v>206</v>
      </c>
      <c r="B211" s="59">
        <v>503</v>
      </c>
      <c r="C211" s="31"/>
      <c r="D211" s="31"/>
      <c r="E211" s="31"/>
      <c r="F211" s="101"/>
      <c r="G211" s="118">
        <v>502</v>
      </c>
      <c r="H211" s="56"/>
      <c r="I211" s="56"/>
      <c r="J211" s="56"/>
      <c r="K211" s="185"/>
      <c r="L211" s="26"/>
      <c r="M211" s="215">
        <v>442</v>
      </c>
      <c r="N211" s="198">
        <f t="shared" si="19"/>
        <v>-0.12127236580516898</v>
      </c>
      <c r="O211" s="64"/>
      <c r="P211" s="79"/>
      <c r="Q211" s="64"/>
      <c r="R211" s="64"/>
      <c r="S211" s="64"/>
      <c r="T211" s="79"/>
      <c r="U211" s="64">
        <v>442</v>
      </c>
      <c r="V211" s="84"/>
      <c r="W211" s="41"/>
      <c r="X211" s="41"/>
      <c r="Y211" s="41"/>
      <c r="Z211" s="58"/>
    </row>
    <row r="212" spans="1:26" x14ac:dyDescent="0.25">
      <c r="A212" s="155" t="s">
        <v>207</v>
      </c>
      <c r="B212" s="59">
        <v>185</v>
      </c>
      <c r="C212" s="31"/>
      <c r="D212" s="31"/>
      <c r="E212" s="31"/>
      <c r="F212" s="101"/>
      <c r="G212" s="118"/>
      <c r="H212" s="56"/>
      <c r="I212" s="56"/>
      <c r="J212" s="56"/>
      <c r="K212" s="185"/>
      <c r="L212" s="26"/>
      <c r="M212" s="215">
        <v>222</v>
      </c>
      <c r="N212" s="198">
        <f t="shared" si="19"/>
        <v>0.2</v>
      </c>
      <c r="O212" s="64"/>
      <c r="P212" s="79"/>
      <c r="Q212" s="4"/>
      <c r="R212" s="4"/>
      <c r="S212" s="4"/>
      <c r="T212" s="4"/>
      <c r="U212" s="4"/>
      <c r="V212" s="84"/>
      <c r="W212" s="41"/>
      <c r="X212" s="41"/>
      <c r="Y212" s="41"/>
      <c r="Z212" s="58"/>
    </row>
    <row r="213" spans="1:26" x14ac:dyDescent="0.25">
      <c r="A213" s="156" t="s">
        <v>208</v>
      </c>
      <c r="B213" s="125">
        <v>186</v>
      </c>
      <c r="C213" s="33"/>
      <c r="D213" s="272"/>
      <c r="E213" s="33"/>
      <c r="F213" s="130"/>
      <c r="G213" s="131">
        <v>182</v>
      </c>
      <c r="H213" s="56"/>
      <c r="I213" s="56"/>
      <c r="J213" s="56"/>
      <c r="K213" s="185"/>
      <c r="L213" s="26"/>
      <c r="M213" s="264">
        <v>526</v>
      </c>
      <c r="N213" s="233">
        <f t="shared" ref="N213:N220" si="28">(M213-B213)/B213</f>
        <v>1.8279569892473118</v>
      </c>
      <c r="O213" s="64"/>
      <c r="P213" s="79"/>
      <c r="Q213" s="36">
        <v>320</v>
      </c>
      <c r="R213" s="36">
        <v>0</v>
      </c>
      <c r="S213" s="36">
        <f>Q213+R213</f>
        <v>320</v>
      </c>
      <c r="T213" s="40">
        <v>0</v>
      </c>
      <c r="U213" s="64">
        <v>204</v>
      </c>
      <c r="V213" s="84"/>
      <c r="W213" s="41"/>
      <c r="X213" s="41"/>
      <c r="Y213" s="41"/>
      <c r="Z213" s="58"/>
    </row>
    <row r="214" spans="1:26" x14ac:dyDescent="0.25">
      <c r="A214" s="155" t="s">
        <v>209</v>
      </c>
      <c r="B214" s="59">
        <v>161</v>
      </c>
      <c r="C214" s="31"/>
      <c r="D214" s="31"/>
      <c r="E214" s="31"/>
      <c r="F214" s="101"/>
      <c r="G214" s="118"/>
      <c r="H214" s="56"/>
      <c r="I214" s="56"/>
      <c r="J214" s="56"/>
      <c r="K214" s="185"/>
      <c r="L214" s="26"/>
      <c r="M214" s="215">
        <v>122</v>
      </c>
      <c r="N214" s="198">
        <f t="shared" si="28"/>
        <v>-0.24223602484472051</v>
      </c>
      <c r="O214" s="64"/>
      <c r="P214" s="79"/>
      <c r="Q214" s="64"/>
      <c r="R214" s="64"/>
      <c r="S214" s="64"/>
      <c r="T214" s="79"/>
      <c r="U214" s="64"/>
      <c r="V214" s="84"/>
      <c r="W214" s="41"/>
      <c r="X214" s="41"/>
      <c r="Y214" s="41"/>
      <c r="Z214" s="58"/>
    </row>
    <row r="215" spans="1:26" x14ac:dyDescent="0.25">
      <c r="A215" s="155" t="s">
        <v>210</v>
      </c>
      <c r="B215" s="59">
        <v>3248</v>
      </c>
      <c r="C215" s="31"/>
      <c r="D215" s="31"/>
      <c r="E215" s="31"/>
      <c r="F215" s="101"/>
      <c r="G215" s="118">
        <v>39</v>
      </c>
      <c r="H215" s="56"/>
      <c r="I215" s="56"/>
      <c r="J215" s="56"/>
      <c r="K215" s="185"/>
      <c r="L215" s="26"/>
      <c r="M215" s="215">
        <v>4828</v>
      </c>
      <c r="N215" s="198">
        <f t="shared" si="28"/>
        <v>0.48645320197044334</v>
      </c>
      <c r="O215" s="64"/>
      <c r="P215" s="79"/>
      <c r="Q215" s="64"/>
      <c r="R215" s="64"/>
      <c r="S215" s="64"/>
      <c r="T215" s="79"/>
      <c r="U215" s="64">
        <v>48</v>
      </c>
      <c r="V215" s="84"/>
      <c r="W215" s="41"/>
      <c r="X215" s="41"/>
      <c r="Y215" s="41"/>
      <c r="Z215" s="58"/>
    </row>
    <row r="216" spans="1:26" x14ac:dyDescent="0.25">
      <c r="A216" s="155" t="s">
        <v>211</v>
      </c>
      <c r="B216" s="59">
        <v>124</v>
      </c>
      <c r="C216" s="31"/>
      <c r="D216" s="31">
        <v>23</v>
      </c>
      <c r="E216" s="31"/>
      <c r="F216" s="101">
        <f t="shared" ref="F216:F221" si="29">E216+D216</f>
        <v>23</v>
      </c>
      <c r="G216" s="118">
        <v>17</v>
      </c>
      <c r="H216" s="56"/>
      <c r="I216" s="56"/>
      <c r="J216" s="56"/>
      <c r="K216" s="185"/>
      <c r="L216" s="26"/>
      <c r="M216" s="215">
        <v>207</v>
      </c>
      <c r="N216" s="198">
        <f t="shared" si="28"/>
        <v>0.66935483870967738</v>
      </c>
      <c r="O216" s="64"/>
      <c r="P216" s="79"/>
      <c r="Q216" s="32">
        <v>24</v>
      </c>
      <c r="R216" s="32">
        <v>0</v>
      </c>
      <c r="S216" s="32">
        <f t="shared" ref="S216:S221" si="30">Q216+R216</f>
        <v>24</v>
      </c>
      <c r="T216" s="65">
        <f>F216+(F216*0.5)</f>
        <v>34.5</v>
      </c>
      <c r="U216" s="64">
        <v>33</v>
      </c>
      <c r="V216" s="84"/>
      <c r="W216" s="41"/>
      <c r="X216" s="41"/>
      <c r="Y216" s="41"/>
      <c r="Z216" s="58"/>
    </row>
    <row r="217" spans="1:26" x14ac:dyDescent="0.25">
      <c r="A217" s="156" t="s">
        <v>212</v>
      </c>
      <c r="B217" s="125">
        <v>306</v>
      </c>
      <c r="C217" s="33"/>
      <c r="D217" s="33">
        <v>27</v>
      </c>
      <c r="E217" s="33"/>
      <c r="F217" s="130">
        <f t="shared" si="29"/>
        <v>27</v>
      </c>
      <c r="G217" s="131">
        <v>66</v>
      </c>
      <c r="H217" s="56"/>
      <c r="I217" s="56"/>
      <c r="J217" s="56"/>
      <c r="K217" s="185"/>
      <c r="L217" s="26"/>
      <c r="M217" s="264">
        <v>487</v>
      </c>
      <c r="N217" s="233">
        <f t="shared" si="28"/>
        <v>0.59150326797385622</v>
      </c>
      <c r="O217" s="64"/>
      <c r="P217" s="79"/>
      <c r="Q217" s="36">
        <v>42</v>
      </c>
      <c r="R217" s="36">
        <v>0</v>
      </c>
      <c r="S217" s="36">
        <f t="shared" si="30"/>
        <v>42</v>
      </c>
      <c r="T217" s="40">
        <f t="shared" ref="T217:T221" si="31">F217+(F217*0.5)</f>
        <v>40.5</v>
      </c>
      <c r="U217" s="64">
        <v>76</v>
      </c>
      <c r="V217" s="84"/>
      <c r="W217" s="41"/>
      <c r="X217" s="41"/>
      <c r="Y217" s="41"/>
      <c r="Z217" s="58"/>
    </row>
    <row r="218" spans="1:26" x14ac:dyDescent="0.25">
      <c r="A218" s="155" t="s">
        <v>213</v>
      </c>
      <c r="B218" s="59">
        <v>318</v>
      </c>
      <c r="C218" s="31"/>
      <c r="D218" s="31">
        <v>50</v>
      </c>
      <c r="E218" s="31">
        <v>2</v>
      </c>
      <c r="F218" s="101">
        <f t="shared" si="29"/>
        <v>52</v>
      </c>
      <c r="G218" s="118">
        <v>55</v>
      </c>
      <c r="H218" s="56"/>
      <c r="I218" s="56"/>
      <c r="J218" s="56"/>
      <c r="K218" s="185"/>
      <c r="L218" s="26"/>
      <c r="M218" s="215">
        <v>369</v>
      </c>
      <c r="N218" s="198">
        <f t="shared" si="28"/>
        <v>0.16037735849056603</v>
      </c>
      <c r="O218" s="64"/>
      <c r="P218" s="79"/>
      <c r="Q218" s="32">
        <v>51</v>
      </c>
      <c r="R218" s="32">
        <v>0</v>
      </c>
      <c r="S218" s="32">
        <f t="shared" si="30"/>
        <v>51</v>
      </c>
      <c r="T218" s="65">
        <f t="shared" si="31"/>
        <v>78</v>
      </c>
      <c r="U218" s="64">
        <v>59</v>
      </c>
      <c r="V218" s="84"/>
      <c r="W218" s="41"/>
      <c r="X218" s="41"/>
      <c r="Y218" s="41"/>
      <c r="Z218" s="58"/>
    </row>
    <row r="219" spans="1:26" x14ac:dyDescent="0.25">
      <c r="A219" s="156" t="s">
        <v>214</v>
      </c>
      <c r="B219" s="125">
        <v>216</v>
      </c>
      <c r="C219" s="33"/>
      <c r="D219" s="33">
        <v>29</v>
      </c>
      <c r="E219" s="33"/>
      <c r="F219" s="130">
        <f t="shared" si="29"/>
        <v>29</v>
      </c>
      <c r="G219" s="131">
        <v>45</v>
      </c>
      <c r="H219" s="56"/>
      <c r="I219" s="56"/>
      <c r="J219" s="56"/>
      <c r="K219" s="185"/>
      <c r="L219" s="26"/>
      <c r="M219" s="264">
        <v>222</v>
      </c>
      <c r="N219" s="233">
        <f t="shared" si="28"/>
        <v>2.7777777777777776E-2</v>
      </c>
      <c r="O219" s="64"/>
      <c r="P219" s="79"/>
      <c r="Q219" s="36">
        <v>123</v>
      </c>
      <c r="R219" s="36">
        <v>0</v>
      </c>
      <c r="S219" s="36">
        <f t="shared" si="30"/>
        <v>123</v>
      </c>
      <c r="T219" s="40">
        <f t="shared" si="31"/>
        <v>43.5</v>
      </c>
      <c r="U219" s="64">
        <v>64</v>
      </c>
      <c r="V219" s="84"/>
      <c r="W219" s="41"/>
      <c r="X219" s="41"/>
      <c r="Y219" s="41"/>
      <c r="Z219" s="58"/>
    </row>
    <row r="220" spans="1:26" x14ac:dyDescent="0.25">
      <c r="A220" s="156" t="s">
        <v>215</v>
      </c>
      <c r="B220" s="125">
        <v>5</v>
      </c>
      <c r="C220" s="33"/>
      <c r="D220" s="33">
        <v>5</v>
      </c>
      <c r="E220" s="33"/>
      <c r="F220" s="130">
        <f t="shared" si="29"/>
        <v>5</v>
      </c>
      <c r="G220" s="131">
        <v>6</v>
      </c>
      <c r="H220" s="56"/>
      <c r="I220" s="56"/>
      <c r="J220" s="56"/>
      <c r="K220" s="185"/>
      <c r="L220" s="26"/>
      <c r="M220" s="264">
        <v>17</v>
      </c>
      <c r="N220" s="233">
        <f t="shared" si="28"/>
        <v>2.4</v>
      </c>
      <c r="O220" s="64"/>
      <c r="P220" s="79"/>
      <c r="Q220" s="36">
        <v>17</v>
      </c>
      <c r="R220" s="36">
        <v>0</v>
      </c>
      <c r="S220" s="36">
        <f t="shared" si="30"/>
        <v>17</v>
      </c>
      <c r="T220" s="40">
        <f t="shared" si="31"/>
        <v>7.5</v>
      </c>
      <c r="U220" s="64"/>
      <c r="V220" s="84"/>
      <c r="W220" s="41"/>
      <c r="X220" s="41"/>
      <c r="Y220" s="41"/>
      <c r="Z220" s="58"/>
    </row>
    <row r="221" spans="1:26" ht="16.5" thickBot="1" x14ac:dyDescent="0.3">
      <c r="A221" s="265" t="s">
        <v>216</v>
      </c>
      <c r="B221" s="266">
        <v>0</v>
      </c>
      <c r="C221" s="267"/>
      <c r="D221" s="267">
        <v>6</v>
      </c>
      <c r="E221" s="267"/>
      <c r="F221" s="268">
        <f t="shared" si="29"/>
        <v>6</v>
      </c>
      <c r="G221" s="269">
        <v>11</v>
      </c>
      <c r="H221" s="56"/>
      <c r="I221" s="56"/>
      <c r="J221" s="56"/>
      <c r="K221" s="185"/>
      <c r="L221" s="26"/>
      <c r="M221" s="270">
        <v>219</v>
      </c>
      <c r="N221" s="271"/>
      <c r="O221" s="98"/>
      <c r="P221" s="100"/>
      <c r="Q221" s="63">
        <v>109</v>
      </c>
      <c r="R221" s="63">
        <v>0</v>
      </c>
      <c r="S221" s="63">
        <f t="shared" si="30"/>
        <v>109</v>
      </c>
      <c r="T221" s="62">
        <f t="shared" si="31"/>
        <v>9</v>
      </c>
      <c r="U221" s="98">
        <v>110</v>
      </c>
      <c r="V221" s="116"/>
      <c r="W221" s="41"/>
      <c r="X221" s="41"/>
      <c r="Y221" s="41"/>
      <c r="Z221" s="58"/>
    </row>
    <row r="222" spans="1:26" x14ac:dyDescent="0.25">
      <c r="K222" s="217"/>
      <c r="L222" s="218"/>
      <c r="M222" s="211"/>
      <c r="N222" s="213"/>
      <c r="O222" s="167"/>
      <c r="W222" s="41"/>
      <c r="X222" s="41"/>
      <c r="Y222" s="41"/>
      <c r="Z222" s="58"/>
    </row>
    <row r="223" spans="1:26" ht="16.5" thickBot="1" x14ac:dyDescent="0.3">
      <c r="A223" s="69"/>
      <c r="B223" s="173"/>
      <c r="C223" s="47"/>
      <c r="D223" s="47"/>
      <c r="E223" s="47"/>
      <c r="F223" s="48"/>
      <c r="G223" s="47"/>
      <c r="H223" s="56"/>
      <c r="I223" s="56"/>
      <c r="J223" s="56"/>
      <c r="K223" s="185"/>
      <c r="L223" s="26"/>
      <c r="M223" s="211"/>
      <c r="N223" s="58"/>
      <c r="O223" s="41"/>
      <c r="P223" s="137"/>
      <c r="Q223" s="41"/>
      <c r="R223" s="41"/>
      <c r="S223" s="41"/>
      <c r="T223" s="137"/>
      <c r="U223" s="41"/>
      <c r="V223" s="41"/>
      <c r="W223" s="41"/>
      <c r="X223" s="41"/>
      <c r="Y223" s="41"/>
      <c r="Z223" s="58"/>
    </row>
    <row r="224" spans="1:26" x14ac:dyDescent="0.25">
      <c r="A224" s="162" t="s">
        <v>218</v>
      </c>
      <c r="B224" s="70"/>
      <c r="C224" s="53"/>
      <c r="D224" s="53"/>
      <c r="E224" s="53"/>
      <c r="F224" s="54"/>
      <c r="G224" s="55"/>
      <c r="H224" s="56"/>
      <c r="I224" s="56"/>
      <c r="J224" s="56"/>
      <c r="K224" s="185"/>
      <c r="L224" s="26"/>
      <c r="M224" s="214"/>
      <c r="N224" s="97"/>
      <c r="O224" s="27"/>
      <c r="P224" s="99"/>
      <c r="Q224" s="27"/>
      <c r="R224" s="27"/>
      <c r="S224" s="27"/>
      <c r="T224" s="99"/>
      <c r="U224" s="27"/>
      <c r="V224" s="57"/>
      <c r="W224" s="41"/>
      <c r="X224" s="41"/>
      <c r="Y224" s="41"/>
      <c r="Z224" s="58"/>
    </row>
    <row r="225" spans="1:26" ht="34.5" customHeight="1" x14ac:dyDescent="0.25">
      <c r="A225" s="163" t="s">
        <v>219</v>
      </c>
      <c r="B225" s="80"/>
      <c r="C225" s="23"/>
      <c r="D225" s="23"/>
      <c r="E225" s="23"/>
      <c r="F225" s="60"/>
      <c r="G225" s="61"/>
      <c r="H225" s="56"/>
      <c r="I225" s="56"/>
      <c r="J225" s="56"/>
      <c r="K225" s="185"/>
      <c r="L225" s="26"/>
      <c r="M225" s="215"/>
      <c r="N225" s="64"/>
      <c r="O225" s="25"/>
      <c r="P225" s="79"/>
      <c r="Q225" s="25"/>
      <c r="R225" s="25"/>
      <c r="S225" s="25"/>
      <c r="T225" s="79"/>
      <c r="U225" s="25"/>
      <c r="V225" s="43"/>
      <c r="W225" s="41"/>
      <c r="X225" s="41"/>
      <c r="Y225" s="41"/>
      <c r="Z225" s="58"/>
    </row>
    <row r="226" spans="1:26" x14ac:dyDescent="0.25">
      <c r="A226" s="163" t="s">
        <v>220</v>
      </c>
      <c r="B226" s="80" t="s">
        <v>290</v>
      </c>
      <c r="C226" s="23"/>
      <c r="D226" s="23"/>
      <c r="E226" s="23"/>
      <c r="F226" s="60"/>
      <c r="G226" s="61"/>
      <c r="H226" s="56"/>
      <c r="I226" s="56"/>
      <c r="J226" s="56"/>
      <c r="K226" s="185"/>
      <c r="L226" s="26"/>
      <c r="M226" s="215"/>
      <c r="N226" s="64"/>
      <c r="O226" s="25"/>
      <c r="P226" s="79"/>
      <c r="Q226" s="25"/>
      <c r="R226" s="25"/>
      <c r="S226" s="25"/>
      <c r="T226" s="79"/>
      <c r="U226" s="25"/>
      <c r="V226" s="43"/>
      <c r="W226" s="41"/>
      <c r="X226" s="41"/>
      <c r="Y226" s="41"/>
      <c r="Z226" s="58"/>
    </row>
    <row r="227" spans="1:26" x14ac:dyDescent="0.25">
      <c r="A227" s="163" t="s">
        <v>221</v>
      </c>
      <c r="B227" s="80"/>
      <c r="C227" s="23"/>
      <c r="D227" s="23"/>
      <c r="E227" s="23"/>
      <c r="F227" s="60"/>
      <c r="G227" s="61"/>
      <c r="H227" s="56"/>
      <c r="I227" s="56"/>
      <c r="J227" s="56"/>
      <c r="K227" s="185"/>
      <c r="L227" s="26"/>
      <c r="M227" s="215"/>
      <c r="N227" s="64"/>
      <c r="O227" s="25"/>
      <c r="P227" s="79"/>
      <c r="Q227" s="25"/>
      <c r="R227" s="25"/>
      <c r="S227" s="25"/>
      <c r="T227" s="79"/>
      <c r="U227" s="25"/>
      <c r="V227" s="43"/>
      <c r="W227" s="41"/>
      <c r="X227" s="41"/>
      <c r="Y227" s="41"/>
      <c r="Z227" s="58"/>
    </row>
    <row r="228" spans="1:26" x14ac:dyDescent="0.25">
      <c r="A228" s="163" t="s">
        <v>222</v>
      </c>
      <c r="B228" s="80"/>
      <c r="C228" s="23"/>
      <c r="D228" s="23"/>
      <c r="E228" s="23"/>
      <c r="F228" s="60"/>
      <c r="G228" s="61"/>
      <c r="H228" s="56"/>
      <c r="I228" s="56"/>
      <c r="J228" s="56"/>
      <c r="K228" s="185"/>
      <c r="L228" s="26"/>
      <c r="M228" s="215"/>
      <c r="N228" s="64"/>
      <c r="O228" s="25"/>
      <c r="P228" s="79"/>
      <c r="Q228" s="25"/>
      <c r="R228" s="25"/>
      <c r="S228" s="25"/>
      <c r="T228" s="79"/>
      <c r="U228" s="25"/>
      <c r="V228" s="43"/>
      <c r="W228" s="41"/>
      <c r="X228" s="41"/>
      <c r="Y228" s="41"/>
      <c r="Z228" s="58"/>
    </row>
    <row r="229" spans="1:26" x14ac:dyDescent="0.25">
      <c r="A229" s="163" t="s">
        <v>223</v>
      </c>
      <c r="B229" s="80"/>
      <c r="C229" s="23"/>
      <c r="D229" s="23"/>
      <c r="E229" s="23"/>
      <c r="F229" s="60"/>
      <c r="G229" s="61"/>
      <c r="H229" s="56"/>
      <c r="I229" s="56"/>
      <c r="J229" s="56"/>
      <c r="K229" s="185"/>
      <c r="L229" s="26"/>
      <c r="M229" s="215"/>
      <c r="N229" s="64"/>
      <c r="O229" s="25"/>
      <c r="P229" s="79"/>
      <c r="Q229" s="25"/>
      <c r="R229" s="25"/>
      <c r="S229" s="25"/>
      <c r="T229" s="79"/>
      <c r="U229" s="25"/>
      <c r="V229" s="43"/>
      <c r="W229" s="41"/>
      <c r="X229" s="41"/>
      <c r="Y229" s="41"/>
      <c r="Z229" s="58"/>
    </row>
    <row r="230" spans="1:26" x14ac:dyDescent="0.25">
      <c r="A230" s="163" t="s">
        <v>224</v>
      </c>
      <c r="B230" s="80"/>
      <c r="C230" s="23"/>
      <c r="D230" s="23"/>
      <c r="E230" s="23"/>
      <c r="F230" s="60"/>
      <c r="G230" s="61"/>
      <c r="H230" s="56"/>
      <c r="I230" s="56"/>
      <c r="J230" s="56"/>
      <c r="K230" s="185"/>
      <c r="L230" s="26"/>
      <c r="M230" s="215"/>
      <c r="N230" s="64"/>
      <c r="O230" s="25"/>
      <c r="P230" s="79"/>
      <c r="Q230" s="25"/>
      <c r="R230" s="25"/>
      <c r="S230" s="25"/>
      <c r="T230" s="79"/>
      <c r="U230" s="25"/>
      <c r="V230" s="43"/>
      <c r="W230" s="41"/>
      <c r="X230" s="41"/>
      <c r="Y230" s="41"/>
      <c r="Z230" s="58"/>
    </row>
    <row r="231" spans="1:26" ht="16.5" thickBot="1" x14ac:dyDescent="0.3">
      <c r="A231" s="164" t="s">
        <v>225</v>
      </c>
      <c r="B231" s="82"/>
      <c r="C231" s="144"/>
      <c r="D231" s="144"/>
      <c r="E231" s="144"/>
      <c r="F231" s="145"/>
      <c r="G231" s="146"/>
      <c r="H231" s="56"/>
      <c r="I231" s="56"/>
      <c r="J231" s="56"/>
      <c r="K231" s="185"/>
      <c r="L231" s="26"/>
      <c r="M231" s="216"/>
      <c r="N231" s="98"/>
      <c r="O231" s="147"/>
      <c r="P231" s="147"/>
      <c r="Q231" s="147"/>
      <c r="R231" s="147"/>
      <c r="S231" s="147"/>
      <c r="T231" s="147"/>
      <c r="U231" s="147"/>
      <c r="V231" s="148"/>
      <c r="W231" s="41"/>
      <c r="X231" s="41"/>
      <c r="Y231" s="41"/>
      <c r="Z231" s="58"/>
    </row>
    <row r="232" spans="1:26" ht="16.5" thickBot="1" x14ac:dyDescent="0.3">
      <c r="A232" s="71"/>
      <c r="B232" s="174"/>
      <c r="C232" s="47"/>
      <c r="D232" s="47"/>
      <c r="E232" s="47"/>
      <c r="F232" s="48"/>
      <c r="G232" s="47"/>
      <c r="H232" s="56"/>
      <c r="I232" s="56"/>
      <c r="J232" s="56"/>
      <c r="K232" s="185"/>
      <c r="L232" s="206"/>
      <c r="M232" s="211"/>
      <c r="N232" s="58"/>
      <c r="O232" s="41"/>
      <c r="P232" s="137"/>
      <c r="Q232" s="41"/>
      <c r="R232" s="41"/>
      <c r="S232" s="41"/>
      <c r="T232" s="137"/>
      <c r="U232" s="41"/>
      <c r="V232" s="41"/>
      <c r="W232" s="41"/>
      <c r="X232" s="41"/>
      <c r="Y232" s="41"/>
      <c r="Z232" s="58"/>
    </row>
    <row r="233" spans="1:26" ht="31.5" x14ac:dyDescent="0.25">
      <c r="A233" s="165" t="s">
        <v>226</v>
      </c>
      <c r="B233" s="149"/>
      <c r="C233" s="53"/>
      <c r="D233" s="53"/>
      <c r="E233" s="53"/>
      <c r="F233" s="54"/>
      <c r="G233" s="55"/>
      <c r="H233" s="56"/>
      <c r="I233" s="56"/>
      <c r="J233" s="56"/>
      <c r="K233" s="185"/>
      <c r="L233" s="26"/>
      <c r="M233" s="214"/>
      <c r="N233" s="97"/>
      <c r="O233" s="27"/>
      <c r="P233" s="99"/>
      <c r="Q233" s="27"/>
      <c r="R233" s="27"/>
      <c r="S233" s="27"/>
      <c r="T233" s="99"/>
      <c r="U233" s="27"/>
      <c r="V233" s="57"/>
      <c r="W233" s="41"/>
      <c r="X233" s="41"/>
      <c r="Y233" s="41"/>
      <c r="Z233" s="58"/>
    </row>
    <row r="234" spans="1:26" x14ac:dyDescent="0.25">
      <c r="A234" s="163" t="s">
        <v>227</v>
      </c>
      <c r="B234" s="80"/>
      <c r="C234" s="23"/>
      <c r="D234" s="23"/>
      <c r="E234" s="23"/>
      <c r="F234" s="60"/>
      <c r="G234" s="61"/>
      <c r="H234" s="56"/>
      <c r="I234" s="56"/>
      <c r="J234" s="56"/>
      <c r="K234" s="185"/>
      <c r="L234" s="26"/>
      <c r="M234" s="215"/>
      <c r="N234" s="64"/>
      <c r="O234" s="25"/>
      <c r="P234" s="79"/>
      <c r="Q234" s="25"/>
      <c r="R234" s="25"/>
      <c r="S234" s="25"/>
      <c r="T234" s="79"/>
      <c r="U234" s="25"/>
      <c r="V234" s="43"/>
      <c r="W234" s="41"/>
      <c r="X234" s="41"/>
      <c r="Y234" s="41"/>
      <c r="Z234" s="58"/>
    </row>
    <row r="235" spans="1:26" x14ac:dyDescent="0.25">
      <c r="A235" s="163" t="s">
        <v>228</v>
      </c>
      <c r="B235" s="80"/>
      <c r="C235" s="23"/>
      <c r="D235" s="23"/>
      <c r="E235" s="23"/>
      <c r="F235" s="60"/>
      <c r="G235" s="61"/>
      <c r="H235" s="56"/>
      <c r="I235" s="56"/>
      <c r="J235" s="56"/>
      <c r="K235" s="185"/>
      <c r="L235" s="26"/>
      <c r="M235" s="215"/>
      <c r="N235" s="64"/>
      <c r="O235" s="25"/>
      <c r="P235" s="79"/>
      <c r="Q235" s="25"/>
      <c r="R235" s="25"/>
      <c r="S235" s="25"/>
      <c r="T235" s="79"/>
      <c r="U235" s="25"/>
      <c r="V235" s="43"/>
      <c r="W235" s="41"/>
      <c r="X235" s="41"/>
      <c r="Y235" s="41"/>
      <c r="Z235" s="58"/>
    </row>
    <row r="236" spans="1:26" x14ac:dyDescent="0.25">
      <c r="A236" s="163" t="s">
        <v>229</v>
      </c>
      <c r="B236" s="80"/>
      <c r="C236" s="23"/>
      <c r="D236" s="23"/>
      <c r="E236" s="23"/>
      <c r="F236" s="60"/>
      <c r="G236" s="61"/>
      <c r="H236" s="56"/>
      <c r="I236" s="56"/>
      <c r="J236" s="56"/>
      <c r="K236" s="185"/>
      <c r="L236" s="26"/>
      <c r="M236" s="215"/>
      <c r="N236" s="64"/>
      <c r="O236" s="25"/>
      <c r="P236" s="79"/>
      <c r="Q236" s="25"/>
      <c r="R236" s="25"/>
      <c r="S236" s="25"/>
      <c r="T236" s="79"/>
      <c r="U236" s="25"/>
      <c r="V236" s="43"/>
      <c r="W236" s="41"/>
      <c r="X236" s="41"/>
      <c r="Y236" s="41"/>
      <c r="Z236" s="58"/>
    </row>
    <row r="237" spans="1:26" x14ac:dyDescent="0.25">
      <c r="A237" s="163" t="s">
        <v>230</v>
      </c>
      <c r="B237" s="80"/>
      <c r="C237" s="23"/>
      <c r="D237" s="23"/>
      <c r="E237" s="23"/>
      <c r="F237" s="60"/>
      <c r="G237" s="61"/>
      <c r="H237" s="56"/>
      <c r="I237" s="56"/>
      <c r="J237" s="56"/>
      <c r="K237" s="185"/>
      <c r="L237" s="26"/>
      <c r="M237" s="215"/>
      <c r="N237" s="64"/>
      <c r="O237" s="25"/>
      <c r="P237" s="79"/>
      <c r="Q237" s="25"/>
      <c r="R237" s="25"/>
      <c r="S237" s="25"/>
      <c r="T237" s="79"/>
      <c r="U237" s="25"/>
      <c r="V237" s="43"/>
      <c r="W237" s="41"/>
      <c r="X237" s="41"/>
      <c r="Y237" s="41"/>
      <c r="Z237" s="58"/>
    </row>
    <row r="238" spans="1:26" x14ac:dyDescent="0.25">
      <c r="A238" s="163" t="s">
        <v>231</v>
      </c>
      <c r="B238" s="80"/>
      <c r="C238" s="23"/>
      <c r="D238" s="23"/>
      <c r="E238" s="23"/>
      <c r="F238" s="60"/>
      <c r="G238" s="61"/>
      <c r="H238" s="56"/>
      <c r="I238" s="56"/>
      <c r="J238" s="56"/>
      <c r="K238" s="185"/>
      <c r="L238" s="26"/>
      <c r="M238" s="215"/>
      <c r="N238" s="64"/>
      <c r="O238" s="25"/>
      <c r="P238" s="79"/>
      <c r="Q238" s="25"/>
      <c r="R238" s="25"/>
      <c r="S238" s="25"/>
      <c r="T238" s="79"/>
      <c r="U238" s="25"/>
      <c r="V238" s="43"/>
      <c r="W238" s="41"/>
      <c r="X238" s="41"/>
      <c r="Y238" s="41"/>
      <c r="Z238" s="58"/>
    </row>
    <row r="239" spans="1:26" x14ac:dyDescent="0.25">
      <c r="A239" s="163" t="s">
        <v>232</v>
      </c>
      <c r="B239" s="80"/>
      <c r="C239" s="23"/>
      <c r="D239" s="23"/>
      <c r="E239" s="23"/>
      <c r="F239" s="60"/>
      <c r="G239" s="61"/>
      <c r="H239" s="56"/>
      <c r="I239" s="56"/>
      <c r="J239" s="56"/>
      <c r="K239" s="185"/>
      <c r="L239" s="26"/>
      <c r="M239" s="215"/>
      <c r="N239" s="64"/>
      <c r="O239" s="25"/>
      <c r="P239" s="79"/>
      <c r="Q239" s="25"/>
      <c r="R239" s="25"/>
      <c r="S239" s="25"/>
      <c r="T239" s="79"/>
      <c r="U239" s="25"/>
      <c r="V239" s="43"/>
      <c r="W239" s="41"/>
      <c r="X239" s="41"/>
      <c r="Y239" s="41"/>
      <c r="Z239" s="58"/>
    </row>
    <row r="240" spans="1:26" x14ac:dyDescent="0.25">
      <c r="A240" s="163" t="s">
        <v>233</v>
      </c>
      <c r="B240" s="80"/>
      <c r="C240" s="23"/>
      <c r="D240" s="23"/>
      <c r="E240" s="23"/>
      <c r="F240" s="60"/>
      <c r="G240" s="61"/>
      <c r="H240" s="56"/>
      <c r="I240" s="56"/>
      <c r="J240" s="56"/>
      <c r="K240" s="185"/>
      <c r="L240" s="26"/>
      <c r="M240" s="215"/>
      <c r="N240" s="64"/>
      <c r="O240" s="25"/>
      <c r="P240" s="79"/>
      <c r="Q240" s="25"/>
      <c r="R240" s="25"/>
      <c r="S240" s="25"/>
      <c r="T240" s="79"/>
      <c r="U240" s="25"/>
      <c r="V240" s="43"/>
      <c r="W240" s="41"/>
      <c r="X240" s="41"/>
      <c r="Y240" s="41"/>
      <c r="Z240" s="58"/>
    </row>
    <row r="241" spans="1:26" x14ac:dyDescent="0.25">
      <c r="A241" s="163" t="s">
        <v>234</v>
      </c>
      <c r="B241" s="80"/>
      <c r="C241" s="23"/>
      <c r="D241" s="23"/>
      <c r="E241" s="23"/>
      <c r="F241" s="60"/>
      <c r="G241" s="61"/>
      <c r="H241" s="56"/>
      <c r="I241" s="56"/>
      <c r="J241" s="56"/>
      <c r="K241" s="185"/>
      <c r="L241" s="26"/>
      <c r="M241" s="215"/>
      <c r="N241" s="64"/>
      <c r="O241" s="25"/>
      <c r="P241" s="79"/>
      <c r="Q241" s="25"/>
      <c r="R241" s="25"/>
      <c r="S241" s="25"/>
      <c r="T241" s="79"/>
      <c r="U241" s="25"/>
      <c r="V241" s="43"/>
      <c r="W241" s="41"/>
      <c r="X241" s="41"/>
      <c r="Y241" s="41"/>
      <c r="Z241" s="58"/>
    </row>
    <row r="242" spans="1:26" x14ac:dyDescent="0.25">
      <c r="A242" s="163" t="s">
        <v>235</v>
      </c>
      <c r="B242" s="80"/>
      <c r="C242" s="23"/>
      <c r="D242" s="23"/>
      <c r="E242" s="23"/>
      <c r="F242" s="60"/>
      <c r="G242" s="61"/>
      <c r="H242" s="56"/>
      <c r="I242" s="56"/>
      <c r="J242" s="56"/>
      <c r="K242" s="185"/>
      <c r="L242" s="26"/>
      <c r="M242" s="215"/>
      <c r="N242" s="64"/>
      <c r="O242" s="25"/>
      <c r="P242" s="79"/>
      <c r="Q242" s="25"/>
      <c r="R242" s="25"/>
      <c r="S242" s="25"/>
      <c r="T242" s="79"/>
      <c r="U242" s="25"/>
      <c r="V242" s="43"/>
      <c r="W242" s="41"/>
      <c r="X242" s="41"/>
      <c r="Y242" s="41"/>
      <c r="Z242" s="58"/>
    </row>
    <row r="243" spans="1:26" x14ac:dyDescent="0.25">
      <c r="A243" s="163" t="s">
        <v>236</v>
      </c>
      <c r="B243" s="80"/>
      <c r="C243" s="23"/>
      <c r="D243" s="23"/>
      <c r="E243" s="23"/>
      <c r="F243" s="60"/>
      <c r="G243" s="61"/>
      <c r="H243" s="56"/>
      <c r="I243" s="56"/>
      <c r="J243" s="56"/>
      <c r="K243" s="185"/>
      <c r="L243" s="26"/>
      <c r="M243" s="215"/>
      <c r="N243" s="64"/>
      <c r="O243" s="25"/>
      <c r="P243" s="79"/>
      <c r="Q243" s="25"/>
      <c r="R243" s="25"/>
      <c r="S243" s="25"/>
      <c r="T243" s="79"/>
      <c r="U243" s="25"/>
      <c r="V243" s="43"/>
      <c r="W243" s="41"/>
      <c r="X243" s="41"/>
      <c r="Y243" s="41"/>
      <c r="Z243" s="58"/>
    </row>
    <row r="244" spans="1:26" ht="16.5" thickBot="1" x14ac:dyDescent="0.3">
      <c r="A244" s="164" t="s">
        <v>237</v>
      </c>
      <c r="B244" s="82"/>
      <c r="C244" s="144"/>
      <c r="D244" s="144"/>
      <c r="E244" s="144"/>
      <c r="F244" s="145"/>
      <c r="G244" s="146"/>
      <c r="H244" s="56"/>
      <c r="I244" s="56"/>
      <c r="J244" s="56"/>
      <c r="K244" s="185"/>
      <c r="L244" s="26"/>
      <c r="M244" s="216"/>
      <c r="N244" s="98"/>
      <c r="O244" s="39"/>
      <c r="P244" s="100"/>
      <c r="Q244" s="39"/>
      <c r="R244" s="39"/>
      <c r="S244" s="39"/>
      <c r="T244" s="100"/>
      <c r="U244" s="39"/>
      <c r="V244" s="45"/>
      <c r="W244" s="41"/>
      <c r="X244" s="41"/>
      <c r="Y244" s="41"/>
      <c r="Z244" s="58"/>
    </row>
    <row r="245" spans="1:26" ht="16.5" thickBot="1" x14ac:dyDescent="0.3">
      <c r="A245" s="69"/>
      <c r="B245" s="175"/>
      <c r="C245" s="47"/>
      <c r="D245" s="47"/>
      <c r="E245" s="47"/>
      <c r="F245" s="48"/>
      <c r="G245" s="47"/>
      <c r="H245" s="56"/>
      <c r="I245" s="56"/>
      <c r="J245" s="56"/>
      <c r="K245" s="185"/>
      <c r="L245" s="26"/>
      <c r="M245" s="211"/>
      <c r="N245" s="58"/>
      <c r="O245" s="41"/>
      <c r="P245" s="137"/>
      <c r="Q245" s="41"/>
      <c r="R245" s="41"/>
      <c r="S245" s="41"/>
      <c r="T245" s="137"/>
      <c r="U245" s="41"/>
      <c r="V245" s="41"/>
      <c r="W245" s="41"/>
      <c r="X245" s="41"/>
      <c r="Y245" s="41"/>
      <c r="Z245" s="58"/>
    </row>
    <row r="246" spans="1:26" x14ac:dyDescent="0.25">
      <c r="A246" s="166" t="s">
        <v>238</v>
      </c>
      <c r="B246" s="81"/>
      <c r="C246" s="53"/>
      <c r="D246" s="53"/>
      <c r="E246" s="53"/>
      <c r="F246" s="54"/>
      <c r="G246" s="55"/>
      <c r="H246" s="56"/>
      <c r="I246" s="56"/>
      <c r="J246" s="56"/>
      <c r="K246" s="185"/>
      <c r="L246" s="26"/>
      <c r="M246" s="214"/>
      <c r="N246" s="97"/>
      <c r="O246" s="27"/>
      <c r="P246" s="99"/>
      <c r="Q246" s="27"/>
      <c r="R246" s="27"/>
      <c r="S246" s="27"/>
      <c r="T246" s="99"/>
      <c r="U246" s="27"/>
      <c r="V246" s="57"/>
      <c r="W246" s="41"/>
      <c r="X246" s="41"/>
      <c r="Y246" s="41"/>
      <c r="Z246" s="58"/>
    </row>
    <row r="247" spans="1:26" x14ac:dyDescent="0.25">
      <c r="A247" s="163" t="s">
        <v>239</v>
      </c>
      <c r="B247" s="80"/>
      <c r="C247" s="23"/>
      <c r="D247" s="23"/>
      <c r="E247" s="23"/>
      <c r="F247" s="60"/>
      <c r="G247" s="61"/>
      <c r="H247" s="56"/>
      <c r="I247" s="56"/>
      <c r="J247" s="56"/>
      <c r="K247" s="185"/>
      <c r="L247" s="26"/>
      <c r="M247" s="215"/>
      <c r="N247" s="64"/>
      <c r="O247" s="64"/>
      <c r="P247" s="79"/>
      <c r="Q247" s="64"/>
      <c r="R247" s="64"/>
      <c r="S247" s="64"/>
      <c r="T247" s="79"/>
      <c r="U247" s="64"/>
      <c r="V247" s="84"/>
      <c r="W247" s="41"/>
      <c r="X247" s="41"/>
      <c r="Y247" s="41"/>
      <c r="Z247" s="58"/>
    </row>
    <row r="248" spans="1:26" x14ac:dyDescent="0.25">
      <c r="A248" s="163" t="s">
        <v>240</v>
      </c>
      <c r="B248" s="80"/>
      <c r="C248" s="23"/>
      <c r="D248" s="23"/>
      <c r="E248" s="23"/>
      <c r="F248" s="60"/>
      <c r="G248" s="61"/>
      <c r="H248" s="56"/>
      <c r="I248" s="56"/>
      <c r="J248" s="56"/>
      <c r="K248" s="185"/>
      <c r="L248" s="26"/>
      <c r="M248" s="215"/>
      <c r="N248" s="64"/>
      <c r="O248" s="64"/>
      <c r="P248" s="79"/>
      <c r="Q248" s="64"/>
      <c r="R248" s="64"/>
      <c r="S248" s="64"/>
      <c r="T248" s="79"/>
      <c r="U248" s="64"/>
      <c r="V248" s="84"/>
      <c r="W248" s="41"/>
      <c r="X248" s="41"/>
      <c r="Y248" s="41"/>
      <c r="Z248" s="58"/>
    </row>
    <row r="249" spans="1:26" x14ac:dyDescent="0.25">
      <c r="A249" s="210" t="s">
        <v>275</v>
      </c>
      <c r="B249" s="80"/>
      <c r="C249" s="31"/>
      <c r="D249" s="31"/>
      <c r="E249" s="31"/>
      <c r="F249" s="101"/>
      <c r="G249" s="118"/>
      <c r="H249" s="56"/>
      <c r="I249" s="56"/>
      <c r="J249" s="56"/>
      <c r="K249" s="185"/>
      <c r="L249" s="26"/>
      <c r="M249" s="215"/>
      <c r="N249" s="64"/>
      <c r="O249" s="64"/>
      <c r="P249" s="79"/>
      <c r="Q249" s="64"/>
      <c r="R249" s="64"/>
      <c r="S249" s="64"/>
      <c r="T249" s="79"/>
      <c r="U249" s="64"/>
      <c r="V249" s="84"/>
      <c r="W249" s="41"/>
      <c r="X249" s="41"/>
      <c r="Y249" s="41"/>
      <c r="Z249" s="58"/>
    </row>
    <row r="250" spans="1:26" x14ac:dyDescent="0.25">
      <c r="A250" s="210" t="s">
        <v>276</v>
      </c>
      <c r="B250" s="80"/>
      <c r="C250" s="31"/>
      <c r="D250" s="31"/>
      <c r="E250" s="31"/>
      <c r="F250" s="101"/>
      <c r="G250" s="118"/>
      <c r="H250" s="56"/>
      <c r="I250" s="56"/>
      <c r="J250" s="56"/>
      <c r="K250" s="185"/>
      <c r="L250" s="26"/>
      <c r="M250" s="215"/>
      <c r="N250" s="64"/>
      <c r="O250" s="64"/>
      <c r="P250" s="79"/>
      <c r="Q250" s="64"/>
      <c r="R250" s="64"/>
      <c r="S250" s="64"/>
      <c r="T250" s="79"/>
      <c r="U250" s="64"/>
      <c r="V250" s="84"/>
      <c r="W250" s="41"/>
      <c r="X250" s="41"/>
      <c r="Y250" s="41"/>
      <c r="Z250" s="58"/>
    </row>
    <row r="251" spans="1:26" ht="30" x14ac:dyDescent="0.25">
      <c r="A251" s="210" t="s">
        <v>277</v>
      </c>
      <c r="B251" s="80"/>
      <c r="C251" s="31"/>
      <c r="D251" s="31"/>
      <c r="E251" s="31"/>
      <c r="F251" s="101"/>
      <c r="G251" s="118"/>
      <c r="H251" s="56"/>
      <c r="I251" s="56"/>
      <c r="J251" s="56"/>
      <c r="K251" s="185"/>
      <c r="L251" s="26"/>
      <c r="M251" s="215"/>
      <c r="N251" s="64"/>
      <c r="O251" s="64"/>
      <c r="P251" s="79"/>
      <c r="Q251" s="64"/>
      <c r="R251" s="64"/>
      <c r="S251" s="64"/>
      <c r="T251" s="79"/>
      <c r="U251" s="64"/>
      <c r="V251" s="84"/>
      <c r="W251" s="41"/>
      <c r="X251" s="41"/>
      <c r="Y251" s="41"/>
      <c r="Z251" s="58"/>
    </row>
    <row r="252" spans="1:26" x14ac:dyDescent="0.25">
      <c r="A252" s="163" t="s">
        <v>243</v>
      </c>
      <c r="B252" s="80"/>
      <c r="C252" s="31"/>
      <c r="D252" s="31"/>
      <c r="E252" s="31"/>
      <c r="F252" s="101"/>
      <c r="G252" s="118"/>
      <c r="H252" s="56"/>
      <c r="I252" s="56"/>
      <c r="J252" s="56"/>
      <c r="K252" s="185"/>
      <c r="L252" s="26"/>
      <c r="M252" s="215"/>
      <c r="N252" s="64"/>
      <c r="O252" s="64"/>
      <c r="P252" s="79"/>
      <c r="Q252" s="64"/>
      <c r="R252" s="64"/>
      <c r="S252" s="64"/>
      <c r="T252" s="79"/>
      <c r="U252" s="64"/>
      <c r="V252" s="84"/>
      <c r="W252" s="41"/>
      <c r="X252" s="41"/>
      <c r="Y252" s="41"/>
      <c r="Z252" s="58"/>
    </row>
    <row r="253" spans="1:26" ht="16.5" thickBot="1" x14ac:dyDescent="0.3">
      <c r="A253" s="164" t="s">
        <v>244</v>
      </c>
      <c r="B253" s="82"/>
      <c r="C253" s="113"/>
      <c r="D253" s="113"/>
      <c r="E253" s="113"/>
      <c r="F253" s="114"/>
      <c r="G253" s="119"/>
      <c r="H253" s="56"/>
      <c r="I253" s="56"/>
      <c r="J253" s="56"/>
      <c r="K253" s="185"/>
      <c r="L253" s="26"/>
      <c r="M253" s="216"/>
      <c r="N253" s="98"/>
      <c r="O253" s="98"/>
      <c r="P253" s="100"/>
      <c r="Q253" s="98"/>
      <c r="R253" s="98"/>
      <c r="S253" s="98"/>
      <c r="T253" s="100"/>
      <c r="U253" s="98"/>
      <c r="V253" s="116"/>
      <c r="W253" s="41"/>
      <c r="X253" s="41"/>
      <c r="Y253" s="41"/>
      <c r="Z253" s="58"/>
    </row>
    <row r="254" spans="1:26" x14ac:dyDescent="0.25">
      <c r="A254" s="73"/>
      <c r="B254" s="176"/>
      <c r="C254" s="74"/>
      <c r="D254" s="74"/>
      <c r="E254" s="74"/>
      <c r="F254" s="74"/>
      <c r="G254" s="74"/>
      <c r="H254" s="75"/>
      <c r="I254" s="75"/>
      <c r="J254" s="75"/>
      <c r="K254" s="186"/>
      <c r="L254" s="56"/>
      <c r="M254" s="56"/>
      <c r="N254" s="56"/>
      <c r="O254" s="75"/>
      <c r="P254" s="75"/>
      <c r="Q254" s="75"/>
      <c r="R254" s="75"/>
      <c r="S254" s="75"/>
      <c r="T254" s="75"/>
      <c r="U254" s="75"/>
      <c r="V254" s="75"/>
      <c r="W254" s="41"/>
      <c r="X254" s="41"/>
      <c r="Y254" s="41"/>
      <c r="Z254" s="58"/>
    </row>
    <row r="255" spans="1:26" x14ac:dyDescent="0.25">
      <c r="A255" s="76"/>
      <c r="B255" s="176"/>
      <c r="C255" s="74"/>
      <c r="D255" s="74"/>
      <c r="E255" s="74"/>
      <c r="F255" s="74"/>
      <c r="G255" s="74"/>
      <c r="H255" s="75"/>
      <c r="I255" s="75"/>
      <c r="J255" s="75"/>
      <c r="K255" s="186"/>
      <c r="L255" s="56"/>
      <c r="M255" s="56"/>
      <c r="N255" s="56"/>
      <c r="O255" s="75"/>
      <c r="P255" s="75"/>
      <c r="Q255" s="75"/>
      <c r="R255" s="75"/>
      <c r="S255" s="75"/>
      <c r="T255" s="75"/>
      <c r="U255" s="75"/>
      <c r="V255" s="75"/>
      <c r="W255" s="75"/>
      <c r="X255" s="75"/>
      <c r="Y255" s="75"/>
      <c r="Z255" s="56"/>
    </row>
    <row r="256" spans="1:26" x14ac:dyDescent="0.25">
      <c r="A256" s="77"/>
      <c r="B256" s="176"/>
      <c r="C256" s="74"/>
      <c r="D256" s="74"/>
      <c r="E256" s="74"/>
      <c r="F256" s="74"/>
      <c r="G256" s="74"/>
      <c r="H256" s="75"/>
      <c r="I256" s="75"/>
      <c r="J256" s="75"/>
      <c r="K256" s="186"/>
      <c r="L256" s="56"/>
      <c r="M256" s="56"/>
      <c r="N256" s="56"/>
      <c r="O256" s="75"/>
      <c r="P256" s="75"/>
      <c r="Q256" s="75"/>
      <c r="R256" s="75"/>
      <c r="S256" s="75"/>
      <c r="T256" s="75"/>
      <c r="U256" s="75"/>
      <c r="V256" s="75"/>
      <c r="W256" s="75"/>
      <c r="X256" s="75"/>
      <c r="Y256" s="75"/>
      <c r="Z256" s="56"/>
    </row>
    <row r="257" spans="1:26" x14ac:dyDescent="0.25">
      <c r="A257" s="77"/>
      <c r="B257" s="176"/>
      <c r="C257" s="74"/>
      <c r="D257" s="74"/>
      <c r="E257" s="74"/>
      <c r="F257" s="74"/>
      <c r="G257" s="74"/>
      <c r="H257" s="75"/>
      <c r="I257" s="75"/>
      <c r="J257" s="75"/>
      <c r="K257" s="186"/>
      <c r="L257" s="56"/>
      <c r="M257" s="56"/>
      <c r="N257" s="56"/>
      <c r="O257" s="75"/>
      <c r="P257" s="75"/>
      <c r="Q257" s="75"/>
      <c r="R257" s="75"/>
      <c r="S257" s="75"/>
      <c r="T257" s="75"/>
      <c r="U257" s="75"/>
      <c r="V257" s="75"/>
      <c r="W257" s="75"/>
      <c r="X257" s="75"/>
      <c r="Y257" s="75"/>
      <c r="Z257" s="56"/>
    </row>
    <row r="258" spans="1:26" x14ac:dyDescent="0.25">
      <c r="W258" s="75"/>
      <c r="X258" s="75"/>
      <c r="Y258" s="75"/>
      <c r="Z258" s="56"/>
    </row>
  </sheetData>
  <pageMargins left="0.7" right="0.7" top="0.75" bottom="0.75" header="0.3" footer="0.3"/>
  <pageSetup paperSize="9" scale="17"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69"/>
  <sheetViews>
    <sheetView workbookViewId="0">
      <pane ySplit="1" topLeftCell="A188" activePane="bottomLeft" state="frozen"/>
      <selection pane="bottomLeft" activeCell="E230" sqref="E230"/>
    </sheetView>
  </sheetViews>
  <sheetFormatPr defaultRowHeight="16.5" customHeight="1" x14ac:dyDescent="0.25"/>
  <cols>
    <col min="1" max="1" width="41.875" style="331" bestFit="1" customWidth="1"/>
    <col min="2" max="4" width="11.25" style="330" customWidth="1"/>
    <col min="5" max="5" width="11.25" style="329" customWidth="1"/>
    <col min="6" max="16384" width="9" style="328"/>
  </cols>
  <sheetData>
    <row r="1" spans="1:9" s="351" customFormat="1" ht="31.5" customHeight="1" thickBot="1" x14ac:dyDescent="0.3">
      <c r="A1" s="430" t="s">
        <v>554</v>
      </c>
      <c r="B1" s="354" t="s">
        <v>532</v>
      </c>
      <c r="C1" s="354" t="s">
        <v>531</v>
      </c>
      <c r="D1" s="353" t="s">
        <v>553</v>
      </c>
      <c r="E1" s="352" t="s">
        <v>518</v>
      </c>
    </row>
    <row r="2" spans="1:9" ht="16.5" customHeight="1" x14ac:dyDescent="0.25">
      <c r="A2" s="331" t="s">
        <v>271</v>
      </c>
      <c r="B2" s="330">
        <v>0</v>
      </c>
      <c r="C2" s="330">
        <v>0</v>
      </c>
      <c r="D2" s="330">
        <f>C2-B2</f>
        <v>0</v>
      </c>
    </row>
    <row r="3" spans="1:9" ht="16.5" customHeight="1" x14ac:dyDescent="0.25">
      <c r="A3" s="350" t="s">
        <v>301</v>
      </c>
      <c r="B3" s="349">
        <v>59</v>
      </c>
      <c r="C3" s="349">
        <v>136</v>
      </c>
      <c r="D3" s="349">
        <f>C3-B3</f>
        <v>77</v>
      </c>
      <c r="E3" s="348">
        <f>(C3-B3)/B3</f>
        <v>1.3050847457627119</v>
      </c>
    </row>
    <row r="4" spans="1:9" ht="16.5" customHeight="1" x14ac:dyDescent="0.25">
      <c r="A4" s="350" t="s">
        <v>300</v>
      </c>
      <c r="B4" s="349">
        <v>0</v>
      </c>
      <c r="C4" s="349">
        <v>6</v>
      </c>
      <c r="D4" s="349">
        <f>C4-B4</f>
        <v>6</v>
      </c>
      <c r="E4" s="348"/>
    </row>
    <row r="5" spans="1:9" s="424" customFormat="1" ht="16.5" customHeight="1" x14ac:dyDescent="0.25">
      <c r="A5" s="422" t="s">
        <v>550</v>
      </c>
      <c r="B5" s="423">
        <v>62</v>
      </c>
      <c r="C5" s="423">
        <v>71</v>
      </c>
      <c r="D5" s="349">
        <f>C5-B5</f>
        <v>9</v>
      </c>
      <c r="E5" s="348">
        <f>(C5-B5)/B5</f>
        <v>0.14516129032258066</v>
      </c>
      <c r="F5" s="450"/>
      <c r="G5" s="450"/>
      <c r="H5" s="450"/>
      <c r="I5" s="450"/>
    </row>
    <row r="6" spans="1:9" ht="16.5" customHeight="1" x14ac:dyDescent="0.25">
      <c r="A6" s="350" t="s">
        <v>302</v>
      </c>
      <c r="B6" s="349">
        <v>0</v>
      </c>
      <c r="C6" s="349">
        <v>24</v>
      </c>
      <c r="D6" s="349">
        <f t="shared" ref="D6:D29" si="0">C6-B6</f>
        <v>24</v>
      </c>
      <c r="E6" s="348"/>
    </row>
    <row r="7" spans="1:9" ht="16.5" customHeight="1" x14ac:dyDescent="0.25">
      <c r="A7" s="350" t="s">
        <v>303</v>
      </c>
      <c r="B7" s="349">
        <v>332</v>
      </c>
      <c r="C7" s="349">
        <v>545</v>
      </c>
      <c r="D7" s="349">
        <f t="shared" si="0"/>
        <v>213</v>
      </c>
      <c r="E7" s="348">
        <f>(C7-B7)/B7</f>
        <v>0.64156626506024095</v>
      </c>
    </row>
    <row r="8" spans="1:9" ht="16.5" customHeight="1" x14ac:dyDescent="0.25">
      <c r="A8" s="350" t="s">
        <v>304</v>
      </c>
      <c r="B8" s="349">
        <v>493</v>
      </c>
      <c r="C8" s="349">
        <v>748</v>
      </c>
      <c r="D8" s="349">
        <f t="shared" si="0"/>
        <v>255</v>
      </c>
      <c r="E8" s="348">
        <f>(C8-B8)/B8</f>
        <v>0.51724137931034486</v>
      </c>
    </row>
    <row r="9" spans="1:9" ht="16.5" customHeight="1" x14ac:dyDescent="0.25">
      <c r="A9" s="350" t="s">
        <v>305</v>
      </c>
      <c r="B9" s="349">
        <v>0</v>
      </c>
      <c r="C9" s="349">
        <v>21</v>
      </c>
      <c r="D9" s="349">
        <f t="shared" si="0"/>
        <v>21</v>
      </c>
      <c r="E9" s="348"/>
    </row>
    <row r="10" spans="1:9" ht="16.5" customHeight="1" x14ac:dyDescent="0.25">
      <c r="A10" s="350" t="s">
        <v>306</v>
      </c>
      <c r="B10" s="349">
        <v>10</v>
      </c>
      <c r="C10" s="349">
        <v>43</v>
      </c>
      <c r="D10" s="349">
        <f t="shared" si="0"/>
        <v>33</v>
      </c>
      <c r="E10" s="348">
        <f t="shared" ref="E10:E16" si="1">(C10-B10)/B10</f>
        <v>3.3</v>
      </c>
    </row>
    <row r="11" spans="1:9" ht="16.5" customHeight="1" x14ac:dyDescent="0.25">
      <c r="A11" s="350" t="s">
        <v>307</v>
      </c>
      <c r="B11" s="349">
        <v>84</v>
      </c>
      <c r="C11" s="349">
        <v>71</v>
      </c>
      <c r="D11" s="349">
        <f t="shared" si="0"/>
        <v>-13</v>
      </c>
      <c r="E11" s="348">
        <f t="shared" si="1"/>
        <v>-0.15476190476190477</v>
      </c>
    </row>
    <row r="12" spans="1:9" ht="16.5" customHeight="1" x14ac:dyDescent="0.25">
      <c r="A12" s="350" t="s">
        <v>308</v>
      </c>
      <c r="B12" s="349">
        <v>34</v>
      </c>
      <c r="C12" s="349">
        <v>40</v>
      </c>
      <c r="D12" s="349">
        <f t="shared" si="0"/>
        <v>6</v>
      </c>
      <c r="E12" s="348">
        <f t="shared" si="1"/>
        <v>0.17647058823529413</v>
      </c>
    </row>
    <row r="13" spans="1:9" ht="16.5" customHeight="1" x14ac:dyDescent="0.25">
      <c r="A13" s="350" t="s">
        <v>309</v>
      </c>
      <c r="B13" s="349">
        <v>45</v>
      </c>
      <c r="C13" s="349">
        <v>49</v>
      </c>
      <c r="D13" s="349">
        <f t="shared" si="0"/>
        <v>4</v>
      </c>
      <c r="E13" s="348">
        <f t="shared" si="1"/>
        <v>8.8888888888888892E-2</v>
      </c>
    </row>
    <row r="14" spans="1:9" ht="16.5" customHeight="1" x14ac:dyDescent="0.25">
      <c r="A14" s="350" t="s">
        <v>319</v>
      </c>
      <c r="B14" s="349">
        <v>93</v>
      </c>
      <c r="C14" s="349">
        <v>189</v>
      </c>
      <c r="D14" s="349">
        <f t="shared" si="0"/>
        <v>96</v>
      </c>
      <c r="E14" s="348">
        <f t="shared" si="1"/>
        <v>1.032258064516129</v>
      </c>
    </row>
    <row r="15" spans="1:9" ht="16.5" customHeight="1" x14ac:dyDescent="0.25">
      <c r="A15" s="350" t="s">
        <v>318</v>
      </c>
      <c r="B15" s="349">
        <v>36</v>
      </c>
      <c r="C15" s="349">
        <v>58</v>
      </c>
      <c r="D15" s="349">
        <f t="shared" si="0"/>
        <v>22</v>
      </c>
      <c r="E15" s="348">
        <f t="shared" si="1"/>
        <v>0.61111111111111116</v>
      </c>
    </row>
    <row r="16" spans="1:9" ht="16.5" customHeight="1" x14ac:dyDescent="0.25">
      <c r="A16" s="350" t="s">
        <v>317</v>
      </c>
      <c r="B16" s="349">
        <v>116</v>
      </c>
      <c r="C16" s="349">
        <v>200</v>
      </c>
      <c r="D16" s="349">
        <f t="shared" si="0"/>
        <v>84</v>
      </c>
      <c r="E16" s="348">
        <f t="shared" si="1"/>
        <v>0.72413793103448276</v>
      </c>
    </row>
    <row r="17" spans="1:5" ht="16.5" customHeight="1" x14ac:dyDescent="0.25">
      <c r="A17" s="350" t="s">
        <v>320</v>
      </c>
      <c r="B17" s="349">
        <v>0</v>
      </c>
      <c r="C17" s="349">
        <v>2</v>
      </c>
      <c r="D17" s="349">
        <f t="shared" si="0"/>
        <v>2</v>
      </c>
      <c r="E17" s="348"/>
    </row>
    <row r="18" spans="1:5" ht="16.5" customHeight="1" x14ac:dyDescent="0.25">
      <c r="A18" s="350" t="s">
        <v>311</v>
      </c>
      <c r="B18" s="349">
        <v>4</v>
      </c>
      <c r="C18" s="349">
        <v>19</v>
      </c>
      <c r="D18" s="349">
        <f t="shared" si="0"/>
        <v>15</v>
      </c>
      <c r="E18" s="348">
        <f>(C18-B18)/B18</f>
        <v>3.75</v>
      </c>
    </row>
    <row r="19" spans="1:5" ht="16.5" customHeight="1" x14ac:dyDescent="0.25">
      <c r="A19" s="350" t="s">
        <v>312</v>
      </c>
      <c r="B19" s="349">
        <v>20</v>
      </c>
      <c r="C19" s="349">
        <v>89</v>
      </c>
      <c r="D19" s="349">
        <f t="shared" si="0"/>
        <v>69</v>
      </c>
      <c r="E19" s="348">
        <f>(C19-B19)/B19</f>
        <v>3.45</v>
      </c>
    </row>
    <row r="20" spans="1:5" ht="16.5" customHeight="1" x14ac:dyDescent="0.25">
      <c r="A20" s="350" t="s">
        <v>313</v>
      </c>
      <c r="B20" s="349">
        <v>0</v>
      </c>
      <c r="C20" s="349">
        <v>1</v>
      </c>
      <c r="D20" s="349">
        <f t="shared" si="0"/>
        <v>1</v>
      </c>
      <c r="E20" s="348"/>
    </row>
    <row r="21" spans="1:5" ht="16.5" customHeight="1" x14ac:dyDescent="0.25">
      <c r="A21" s="350" t="s">
        <v>314</v>
      </c>
      <c r="B21" s="349">
        <v>18</v>
      </c>
      <c r="C21" s="349">
        <v>37</v>
      </c>
      <c r="D21" s="349">
        <f t="shared" si="0"/>
        <v>19</v>
      </c>
      <c r="E21" s="348">
        <f t="shared" ref="E21:E29" si="2">(C21-B21)/B21</f>
        <v>1.0555555555555556</v>
      </c>
    </row>
    <row r="22" spans="1:5" ht="16.5" customHeight="1" x14ac:dyDescent="0.25">
      <c r="A22" s="350" t="s">
        <v>315</v>
      </c>
      <c r="B22" s="349">
        <v>1</v>
      </c>
      <c r="C22" s="349">
        <v>3</v>
      </c>
      <c r="D22" s="349">
        <f t="shared" si="0"/>
        <v>2</v>
      </c>
      <c r="E22" s="348">
        <f t="shared" si="2"/>
        <v>2</v>
      </c>
    </row>
    <row r="23" spans="1:5" ht="16.5" customHeight="1" x14ac:dyDescent="0.25">
      <c r="A23" s="350" t="s">
        <v>316</v>
      </c>
      <c r="B23" s="349">
        <v>6</v>
      </c>
      <c r="C23" s="349">
        <v>37</v>
      </c>
      <c r="D23" s="349">
        <f t="shared" si="0"/>
        <v>31</v>
      </c>
      <c r="E23" s="348">
        <f t="shared" si="2"/>
        <v>5.166666666666667</v>
      </c>
    </row>
    <row r="24" spans="1:5" ht="16.5" customHeight="1" x14ac:dyDescent="0.25">
      <c r="A24" s="350" t="s">
        <v>310</v>
      </c>
      <c r="B24" s="349">
        <v>5</v>
      </c>
      <c r="C24" s="349">
        <v>8</v>
      </c>
      <c r="D24" s="349">
        <f t="shared" si="0"/>
        <v>3</v>
      </c>
      <c r="E24" s="348">
        <f t="shared" si="2"/>
        <v>0.6</v>
      </c>
    </row>
    <row r="25" spans="1:5" ht="16.5" customHeight="1" x14ac:dyDescent="0.25">
      <c r="A25" s="350" t="s">
        <v>321</v>
      </c>
      <c r="B25" s="349">
        <v>495</v>
      </c>
      <c r="C25" s="349">
        <v>714</v>
      </c>
      <c r="D25" s="349">
        <f t="shared" si="0"/>
        <v>219</v>
      </c>
      <c r="E25" s="348">
        <f t="shared" si="2"/>
        <v>0.44242424242424244</v>
      </c>
    </row>
    <row r="26" spans="1:5" ht="16.5" customHeight="1" x14ac:dyDescent="0.25">
      <c r="A26" s="350" t="s">
        <v>322</v>
      </c>
      <c r="B26" s="349">
        <v>212</v>
      </c>
      <c r="C26" s="349">
        <v>450</v>
      </c>
      <c r="D26" s="349">
        <f t="shared" si="0"/>
        <v>238</v>
      </c>
      <c r="E26" s="348">
        <f t="shared" si="2"/>
        <v>1.1226415094339623</v>
      </c>
    </row>
    <row r="27" spans="1:5" ht="16.5" customHeight="1" x14ac:dyDescent="0.25">
      <c r="A27" s="350" t="s">
        <v>323</v>
      </c>
      <c r="B27" s="349">
        <v>497</v>
      </c>
      <c r="C27" s="349">
        <v>758</v>
      </c>
      <c r="D27" s="349">
        <f t="shared" si="0"/>
        <v>261</v>
      </c>
      <c r="E27" s="348">
        <f t="shared" si="2"/>
        <v>0.52515090543259557</v>
      </c>
    </row>
    <row r="28" spans="1:5" ht="16.5" customHeight="1" x14ac:dyDescent="0.25">
      <c r="A28" s="350" t="s">
        <v>324</v>
      </c>
      <c r="B28" s="349">
        <v>533</v>
      </c>
      <c r="C28" s="349">
        <v>636</v>
      </c>
      <c r="D28" s="349">
        <f t="shared" si="0"/>
        <v>103</v>
      </c>
      <c r="E28" s="348">
        <f t="shared" si="2"/>
        <v>0.19324577861163228</v>
      </c>
    </row>
    <row r="29" spans="1:5" ht="16.5" customHeight="1" x14ac:dyDescent="0.25">
      <c r="A29" s="350" t="s">
        <v>325</v>
      </c>
      <c r="B29" s="349">
        <v>347</v>
      </c>
      <c r="C29" s="349">
        <v>425</v>
      </c>
      <c r="D29" s="349">
        <f t="shared" si="0"/>
        <v>78</v>
      </c>
      <c r="E29" s="348">
        <f t="shared" si="2"/>
        <v>0.22478386167146974</v>
      </c>
    </row>
    <row r="30" spans="1:5" ht="16.5" customHeight="1" x14ac:dyDescent="0.25">
      <c r="A30" s="350" t="s">
        <v>530</v>
      </c>
      <c r="B30" s="349">
        <v>4</v>
      </c>
      <c r="C30" s="349" t="s">
        <v>521</v>
      </c>
      <c r="D30" s="349"/>
      <c r="E30" s="348"/>
    </row>
    <row r="31" spans="1:5" ht="16.5" customHeight="1" x14ac:dyDescent="0.25">
      <c r="A31" s="350" t="s">
        <v>273</v>
      </c>
      <c r="B31" s="349">
        <v>2</v>
      </c>
      <c r="C31" s="349">
        <v>31</v>
      </c>
      <c r="D31" s="349">
        <f>C31-B31</f>
        <v>29</v>
      </c>
      <c r="E31" s="348">
        <f>(C31-B31)/B31</f>
        <v>14.5</v>
      </c>
    </row>
    <row r="32" spans="1:5" ht="16.5" customHeight="1" x14ac:dyDescent="0.25">
      <c r="A32" s="350" t="s">
        <v>326</v>
      </c>
      <c r="B32" s="349">
        <v>0</v>
      </c>
      <c r="C32" s="349">
        <v>2</v>
      </c>
      <c r="D32" s="349">
        <f>C32-B32</f>
        <v>2</v>
      </c>
      <c r="E32" s="348"/>
    </row>
    <row r="33" spans="1:5" ht="16.5" customHeight="1" x14ac:dyDescent="0.25">
      <c r="A33" s="350" t="s">
        <v>529</v>
      </c>
      <c r="B33" s="349">
        <v>2</v>
      </c>
      <c r="C33" s="349" t="s">
        <v>524</v>
      </c>
      <c r="D33" s="349"/>
      <c r="E33" s="348"/>
    </row>
    <row r="34" spans="1:5" ht="16.5" customHeight="1" x14ac:dyDescent="0.25">
      <c r="A34" s="350" t="s">
        <v>241</v>
      </c>
      <c r="B34" s="349">
        <v>0</v>
      </c>
      <c r="C34" s="349">
        <v>3</v>
      </c>
      <c r="D34" s="349">
        <f>C34-B34</f>
        <v>3</v>
      </c>
      <c r="E34" s="348"/>
    </row>
    <row r="35" spans="1:5" ht="16.5" customHeight="1" x14ac:dyDescent="0.25">
      <c r="A35" s="350" t="s">
        <v>424</v>
      </c>
      <c r="B35" s="349">
        <v>0</v>
      </c>
      <c r="C35" s="349" t="s">
        <v>521</v>
      </c>
      <c r="D35" s="349"/>
      <c r="E35" s="348"/>
    </row>
    <row r="36" spans="1:5" ht="16.5" customHeight="1" x14ac:dyDescent="0.25">
      <c r="A36" s="350" t="s">
        <v>327</v>
      </c>
      <c r="B36" s="349">
        <v>0</v>
      </c>
      <c r="C36" s="349">
        <v>26</v>
      </c>
      <c r="D36" s="349">
        <f>C36-B36</f>
        <v>26</v>
      </c>
      <c r="E36" s="348"/>
    </row>
    <row r="37" spans="1:5" ht="16.5" customHeight="1" x14ac:dyDescent="0.25">
      <c r="A37" s="350" t="s">
        <v>74</v>
      </c>
      <c r="B37" s="349">
        <v>1</v>
      </c>
      <c r="C37" s="349" t="s">
        <v>521</v>
      </c>
      <c r="D37" s="349"/>
      <c r="E37" s="348"/>
    </row>
    <row r="38" spans="1:5" ht="16.5" customHeight="1" x14ac:dyDescent="0.25">
      <c r="A38" s="350" t="s">
        <v>328</v>
      </c>
      <c r="B38" s="349">
        <v>27</v>
      </c>
      <c r="C38" s="349">
        <v>96</v>
      </c>
      <c r="D38" s="349">
        <f t="shared" ref="D38:D80" si="3">C38-B38</f>
        <v>69</v>
      </c>
      <c r="E38" s="348">
        <f t="shared" ref="E38:E68" si="4">(C38-B38)/B38</f>
        <v>2.5555555555555554</v>
      </c>
    </row>
    <row r="39" spans="1:5" ht="16.5" customHeight="1" x14ac:dyDescent="0.25">
      <c r="A39" s="350" t="s">
        <v>80</v>
      </c>
      <c r="B39" s="349">
        <v>81</v>
      </c>
      <c r="C39" s="349">
        <v>207</v>
      </c>
      <c r="D39" s="349">
        <f t="shared" si="3"/>
        <v>126</v>
      </c>
      <c r="E39" s="348">
        <f t="shared" si="4"/>
        <v>1.5555555555555556</v>
      </c>
    </row>
    <row r="40" spans="1:5" ht="16.5" customHeight="1" x14ac:dyDescent="0.25">
      <c r="A40" s="350" t="s">
        <v>329</v>
      </c>
      <c r="B40" s="349">
        <v>48</v>
      </c>
      <c r="C40" s="349">
        <v>95</v>
      </c>
      <c r="D40" s="349">
        <f t="shared" si="3"/>
        <v>47</v>
      </c>
      <c r="E40" s="348">
        <f t="shared" si="4"/>
        <v>0.97916666666666663</v>
      </c>
    </row>
    <row r="41" spans="1:5" ht="16.5" customHeight="1" x14ac:dyDescent="0.25">
      <c r="A41" s="350" t="s">
        <v>330</v>
      </c>
      <c r="B41" s="349">
        <v>253</v>
      </c>
      <c r="C41" s="349">
        <v>373</v>
      </c>
      <c r="D41" s="349">
        <f t="shared" si="3"/>
        <v>120</v>
      </c>
      <c r="E41" s="348">
        <f t="shared" si="4"/>
        <v>0.4743083003952569</v>
      </c>
    </row>
    <row r="42" spans="1:5" ht="16.5" customHeight="1" x14ac:dyDescent="0.25">
      <c r="A42" s="350" t="s">
        <v>331</v>
      </c>
      <c r="B42" s="349">
        <v>180</v>
      </c>
      <c r="C42" s="349">
        <v>290</v>
      </c>
      <c r="D42" s="349">
        <f t="shared" si="3"/>
        <v>110</v>
      </c>
      <c r="E42" s="348">
        <f t="shared" si="4"/>
        <v>0.61111111111111116</v>
      </c>
    </row>
    <row r="43" spans="1:5" ht="16.5" customHeight="1" x14ac:dyDescent="0.25">
      <c r="A43" s="350" t="s">
        <v>332</v>
      </c>
      <c r="B43" s="349">
        <v>73</v>
      </c>
      <c r="C43" s="349">
        <v>127</v>
      </c>
      <c r="D43" s="349">
        <f t="shared" si="3"/>
        <v>54</v>
      </c>
      <c r="E43" s="348">
        <f t="shared" si="4"/>
        <v>0.73972602739726023</v>
      </c>
    </row>
    <row r="44" spans="1:5" ht="16.5" customHeight="1" x14ac:dyDescent="0.25">
      <c r="A44" s="350" t="s">
        <v>333</v>
      </c>
      <c r="B44" s="349">
        <v>32</v>
      </c>
      <c r="C44" s="349">
        <v>40</v>
      </c>
      <c r="D44" s="349">
        <f t="shared" si="3"/>
        <v>8</v>
      </c>
      <c r="E44" s="348">
        <f t="shared" si="4"/>
        <v>0.25</v>
      </c>
    </row>
    <row r="45" spans="1:5" ht="16.5" customHeight="1" x14ac:dyDescent="0.25">
      <c r="A45" s="350" t="s">
        <v>334</v>
      </c>
      <c r="B45" s="349">
        <v>58</v>
      </c>
      <c r="C45" s="349">
        <v>107</v>
      </c>
      <c r="D45" s="349">
        <f t="shared" si="3"/>
        <v>49</v>
      </c>
      <c r="E45" s="348">
        <f t="shared" si="4"/>
        <v>0.84482758620689657</v>
      </c>
    </row>
    <row r="46" spans="1:5" ht="16.5" customHeight="1" x14ac:dyDescent="0.25">
      <c r="A46" s="350" t="s">
        <v>335</v>
      </c>
      <c r="B46" s="349">
        <v>32</v>
      </c>
      <c r="C46" s="349">
        <v>49</v>
      </c>
      <c r="D46" s="349">
        <f t="shared" si="3"/>
        <v>17</v>
      </c>
      <c r="E46" s="348">
        <f t="shared" si="4"/>
        <v>0.53125</v>
      </c>
    </row>
    <row r="47" spans="1:5" ht="16.5" customHeight="1" x14ac:dyDescent="0.25">
      <c r="A47" s="350" t="s">
        <v>528</v>
      </c>
      <c r="B47" s="349">
        <v>21</v>
      </c>
      <c r="C47" s="349">
        <v>59</v>
      </c>
      <c r="D47" s="349">
        <f t="shared" si="3"/>
        <v>38</v>
      </c>
      <c r="E47" s="348">
        <f t="shared" si="4"/>
        <v>1.8095238095238095</v>
      </c>
    </row>
    <row r="48" spans="1:5" ht="16.5" customHeight="1" x14ac:dyDescent="0.25">
      <c r="A48" s="350" t="s">
        <v>336</v>
      </c>
      <c r="B48" s="349">
        <v>146</v>
      </c>
      <c r="C48" s="349">
        <v>228</v>
      </c>
      <c r="D48" s="349">
        <f t="shared" si="3"/>
        <v>82</v>
      </c>
      <c r="E48" s="348">
        <f t="shared" si="4"/>
        <v>0.56164383561643838</v>
      </c>
    </row>
    <row r="49" spans="1:5" ht="16.5" customHeight="1" x14ac:dyDescent="0.25">
      <c r="A49" s="350" t="s">
        <v>337</v>
      </c>
      <c r="B49" s="349">
        <v>293</v>
      </c>
      <c r="C49" s="349">
        <v>397</v>
      </c>
      <c r="D49" s="349">
        <f t="shared" si="3"/>
        <v>104</v>
      </c>
      <c r="E49" s="348">
        <f t="shared" si="4"/>
        <v>0.35494880546075086</v>
      </c>
    </row>
    <row r="50" spans="1:5" ht="16.5" customHeight="1" x14ac:dyDescent="0.25">
      <c r="A50" s="350" t="s">
        <v>338</v>
      </c>
      <c r="B50" s="349">
        <v>58</v>
      </c>
      <c r="C50" s="349">
        <v>68</v>
      </c>
      <c r="D50" s="349">
        <f t="shared" si="3"/>
        <v>10</v>
      </c>
      <c r="E50" s="348">
        <f t="shared" si="4"/>
        <v>0.17241379310344829</v>
      </c>
    </row>
    <row r="51" spans="1:5" ht="16.5" customHeight="1" x14ac:dyDescent="0.25">
      <c r="A51" s="350" t="s">
        <v>339</v>
      </c>
      <c r="B51" s="349">
        <v>180</v>
      </c>
      <c r="C51" s="349">
        <v>169</v>
      </c>
      <c r="D51" s="349">
        <f t="shared" si="3"/>
        <v>-11</v>
      </c>
      <c r="E51" s="348">
        <f t="shared" si="4"/>
        <v>-6.1111111111111109E-2</v>
      </c>
    </row>
    <row r="52" spans="1:5" ht="16.5" customHeight="1" x14ac:dyDescent="0.25">
      <c r="A52" s="350" t="s">
        <v>340</v>
      </c>
      <c r="B52" s="349">
        <v>44</v>
      </c>
      <c r="C52" s="349">
        <v>67</v>
      </c>
      <c r="D52" s="349">
        <f t="shared" si="3"/>
        <v>23</v>
      </c>
      <c r="E52" s="348">
        <f t="shared" si="4"/>
        <v>0.52272727272727271</v>
      </c>
    </row>
    <row r="53" spans="1:5" ht="16.5" customHeight="1" x14ac:dyDescent="0.25">
      <c r="A53" s="350" t="s">
        <v>341</v>
      </c>
      <c r="B53" s="349">
        <v>25</v>
      </c>
      <c r="C53" s="349">
        <v>32</v>
      </c>
      <c r="D53" s="349">
        <f t="shared" si="3"/>
        <v>7</v>
      </c>
      <c r="E53" s="348">
        <f t="shared" si="4"/>
        <v>0.28000000000000003</v>
      </c>
    </row>
    <row r="54" spans="1:5" ht="16.5" customHeight="1" x14ac:dyDescent="0.25">
      <c r="A54" s="350" t="s">
        <v>342</v>
      </c>
      <c r="B54" s="349">
        <v>164</v>
      </c>
      <c r="C54" s="349">
        <v>297</v>
      </c>
      <c r="D54" s="349">
        <f t="shared" si="3"/>
        <v>133</v>
      </c>
      <c r="E54" s="348">
        <f t="shared" si="4"/>
        <v>0.81097560975609762</v>
      </c>
    </row>
    <row r="55" spans="1:5" ht="16.5" customHeight="1" x14ac:dyDescent="0.25">
      <c r="A55" s="350" t="s">
        <v>343</v>
      </c>
      <c r="B55" s="349">
        <v>62</v>
      </c>
      <c r="C55" s="349">
        <v>125</v>
      </c>
      <c r="D55" s="349">
        <f t="shared" si="3"/>
        <v>63</v>
      </c>
      <c r="E55" s="348">
        <f t="shared" si="4"/>
        <v>1.0161290322580645</v>
      </c>
    </row>
    <row r="56" spans="1:5" ht="16.5" customHeight="1" x14ac:dyDescent="0.25">
      <c r="A56" s="350" t="s">
        <v>344</v>
      </c>
      <c r="B56" s="349">
        <v>18</v>
      </c>
      <c r="C56" s="349">
        <v>26</v>
      </c>
      <c r="D56" s="349">
        <f t="shared" si="3"/>
        <v>8</v>
      </c>
      <c r="E56" s="348">
        <f t="shared" si="4"/>
        <v>0.44444444444444442</v>
      </c>
    </row>
    <row r="57" spans="1:5" ht="16.5" customHeight="1" x14ac:dyDescent="0.25">
      <c r="A57" s="350" t="s">
        <v>345</v>
      </c>
      <c r="B57" s="349">
        <v>250</v>
      </c>
      <c r="C57" s="349">
        <v>469</v>
      </c>
      <c r="D57" s="349">
        <f t="shared" si="3"/>
        <v>219</v>
      </c>
      <c r="E57" s="348">
        <f t="shared" si="4"/>
        <v>0.876</v>
      </c>
    </row>
    <row r="58" spans="1:5" ht="16.5" customHeight="1" x14ac:dyDescent="0.25">
      <c r="A58" s="350" t="s">
        <v>346</v>
      </c>
      <c r="B58" s="349">
        <v>67</v>
      </c>
      <c r="C58" s="349">
        <v>138</v>
      </c>
      <c r="D58" s="349">
        <f t="shared" si="3"/>
        <v>71</v>
      </c>
      <c r="E58" s="348">
        <f t="shared" si="4"/>
        <v>1.0597014925373134</v>
      </c>
    </row>
    <row r="59" spans="1:5" ht="16.5" customHeight="1" x14ac:dyDescent="0.25">
      <c r="A59" s="350" t="s">
        <v>347</v>
      </c>
      <c r="B59" s="349">
        <v>103</v>
      </c>
      <c r="C59" s="349">
        <v>139</v>
      </c>
      <c r="D59" s="349">
        <f t="shared" si="3"/>
        <v>36</v>
      </c>
      <c r="E59" s="348">
        <f t="shared" si="4"/>
        <v>0.34951456310679613</v>
      </c>
    </row>
    <row r="60" spans="1:5" ht="16.5" customHeight="1" x14ac:dyDescent="0.25">
      <c r="A60" s="350" t="s">
        <v>348</v>
      </c>
      <c r="B60" s="349">
        <v>53</v>
      </c>
      <c r="C60" s="349">
        <v>59</v>
      </c>
      <c r="D60" s="349">
        <f t="shared" si="3"/>
        <v>6</v>
      </c>
      <c r="E60" s="348">
        <f t="shared" si="4"/>
        <v>0.11320754716981132</v>
      </c>
    </row>
    <row r="61" spans="1:5" ht="16.5" customHeight="1" x14ac:dyDescent="0.25">
      <c r="A61" s="350" t="s">
        <v>352</v>
      </c>
      <c r="B61" s="349">
        <v>61</v>
      </c>
      <c r="C61" s="349">
        <v>201</v>
      </c>
      <c r="D61" s="349">
        <f t="shared" si="3"/>
        <v>140</v>
      </c>
      <c r="E61" s="348">
        <f t="shared" si="4"/>
        <v>2.2950819672131146</v>
      </c>
    </row>
    <row r="62" spans="1:5" ht="16.5" customHeight="1" x14ac:dyDescent="0.25">
      <c r="A62" s="350" t="s">
        <v>349</v>
      </c>
      <c r="B62" s="349">
        <v>287</v>
      </c>
      <c r="C62" s="349">
        <v>456</v>
      </c>
      <c r="D62" s="349">
        <f t="shared" si="3"/>
        <v>169</v>
      </c>
      <c r="E62" s="348">
        <f t="shared" si="4"/>
        <v>0.58885017421602792</v>
      </c>
    </row>
    <row r="63" spans="1:5" ht="16.5" customHeight="1" x14ac:dyDescent="0.25">
      <c r="A63" s="350" t="s">
        <v>350</v>
      </c>
      <c r="B63" s="349">
        <v>309</v>
      </c>
      <c r="C63" s="349">
        <v>288</v>
      </c>
      <c r="D63" s="349">
        <f t="shared" si="3"/>
        <v>-21</v>
      </c>
      <c r="E63" s="348">
        <f t="shared" si="4"/>
        <v>-6.7961165048543687E-2</v>
      </c>
    </row>
    <row r="64" spans="1:5" ht="16.5" customHeight="1" x14ac:dyDescent="0.25">
      <c r="A64" s="350" t="s">
        <v>351</v>
      </c>
      <c r="B64" s="349">
        <v>126</v>
      </c>
      <c r="C64" s="349">
        <v>290</v>
      </c>
      <c r="D64" s="349">
        <f t="shared" si="3"/>
        <v>164</v>
      </c>
      <c r="E64" s="348">
        <f t="shared" si="4"/>
        <v>1.3015873015873016</v>
      </c>
    </row>
    <row r="65" spans="1:5" ht="16.5" customHeight="1" x14ac:dyDescent="0.25">
      <c r="A65" s="350" t="s">
        <v>353</v>
      </c>
      <c r="B65" s="349">
        <v>4</v>
      </c>
      <c r="C65" s="349">
        <v>7</v>
      </c>
      <c r="D65" s="349">
        <f t="shared" si="3"/>
        <v>3</v>
      </c>
      <c r="E65" s="348">
        <f t="shared" si="4"/>
        <v>0.75</v>
      </c>
    </row>
    <row r="66" spans="1:5" ht="16.5" customHeight="1" x14ac:dyDescent="0.25">
      <c r="A66" s="350" t="s">
        <v>355</v>
      </c>
      <c r="B66" s="349">
        <v>9</v>
      </c>
      <c r="C66" s="349">
        <v>27</v>
      </c>
      <c r="D66" s="349">
        <f t="shared" si="3"/>
        <v>18</v>
      </c>
      <c r="E66" s="348">
        <f t="shared" si="4"/>
        <v>2</v>
      </c>
    </row>
    <row r="67" spans="1:5" ht="16.5" customHeight="1" x14ac:dyDescent="0.25">
      <c r="A67" s="350" t="s">
        <v>356</v>
      </c>
      <c r="B67" s="349">
        <v>6</v>
      </c>
      <c r="C67" s="349">
        <v>57</v>
      </c>
      <c r="D67" s="349">
        <f t="shared" si="3"/>
        <v>51</v>
      </c>
      <c r="E67" s="348">
        <f t="shared" si="4"/>
        <v>8.5</v>
      </c>
    </row>
    <row r="68" spans="1:5" ht="16.5" customHeight="1" x14ac:dyDescent="0.25">
      <c r="A68" s="350" t="s">
        <v>354</v>
      </c>
      <c r="B68" s="349">
        <v>12</v>
      </c>
      <c r="C68" s="349">
        <v>23</v>
      </c>
      <c r="D68" s="349">
        <f t="shared" si="3"/>
        <v>11</v>
      </c>
      <c r="E68" s="348">
        <f t="shared" si="4"/>
        <v>0.91666666666666663</v>
      </c>
    </row>
    <row r="69" spans="1:5" ht="16.5" customHeight="1" x14ac:dyDescent="0.25">
      <c r="A69" s="350" t="s">
        <v>357</v>
      </c>
      <c r="B69" s="349">
        <v>0</v>
      </c>
      <c r="C69" s="349">
        <v>33</v>
      </c>
      <c r="D69" s="349">
        <f t="shared" si="3"/>
        <v>33</v>
      </c>
      <c r="E69" s="348"/>
    </row>
    <row r="70" spans="1:5" ht="16.5" customHeight="1" x14ac:dyDescent="0.25">
      <c r="A70" s="350" t="s">
        <v>358</v>
      </c>
      <c r="B70" s="349">
        <v>0</v>
      </c>
      <c r="C70" s="349">
        <v>4</v>
      </c>
      <c r="D70" s="349">
        <f t="shared" si="3"/>
        <v>4</v>
      </c>
      <c r="E70" s="348"/>
    </row>
    <row r="71" spans="1:5" ht="16.5" customHeight="1" x14ac:dyDescent="0.25">
      <c r="A71" s="350" t="s">
        <v>359</v>
      </c>
      <c r="B71" s="349">
        <v>0</v>
      </c>
      <c r="C71" s="349">
        <v>0</v>
      </c>
      <c r="D71" s="349">
        <f t="shared" si="3"/>
        <v>0</v>
      </c>
      <c r="E71" s="348"/>
    </row>
    <row r="72" spans="1:5" ht="16.5" customHeight="1" x14ac:dyDescent="0.25">
      <c r="A72" s="350" t="s">
        <v>161</v>
      </c>
      <c r="B72" s="349">
        <v>5</v>
      </c>
      <c r="C72" s="349">
        <v>3</v>
      </c>
      <c r="D72" s="349">
        <f t="shared" si="3"/>
        <v>-2</v>
      </c>
      <c r="E72" s="348">
        <f>(C72-B72)/B72</f>
        <v>-0.4</v>
      </c>
    </row>
    <row r="73" spans="1:5" ht="16.5" customHeight="1" x14ac:dyDescent="0.25">
      <c r="A73" s="350" t="s">
        <v>360</v>
      </c>
      <c r="B73" s="349">
        <v>0</v>
      </c>
      <c r="C73" s="349">
        <v>1</v>
      </c>
      <c r="D73" s="349">
        <f t="shared" si="3"/>
        <v>1</v>
      </c>
      <c r="E73" s="348"/>
    </row>
    <row r="74" spans="1:5" ht="16.5" customHeight="1" x14ac:dyDescent="0.25">
      <c r="A74" s="350" t="s">
        <v>361</v>
      </c>
      <c r="B74" s="349">
        <v>0</v>
      </c>
      <c r="C74" s="349">
        <v>3</v>
      </c>
      <c r="D74" s="349">
        <f t="shared" si="3"/>
        <v>3</v>
      </c>
      <c r="E74" s="348"/>
    </row>
    <row r="75" spans="1:5" ht="16.5" customHeight="1" x14ac:dyDescent="0.25">
      <c r="A75" s="350" t="s">
        <v>362</v>
      </c>
      <c r="B75" s="349">
        <v>8</v>
      </c>
      <c r="C75" s="349">
        <v>8</v>
      </c>
      <c r="D75" s="349">
        <f t="shared" si="3"/>
        <v>0</v>
      </c>
      <c r="E75" s="348">
        <f t="shared" ref="E75:E80" si="5">(C75-B75)/B75</f>
        <v>0</v>
      </c>
    </row>
    <row r="76" spans="1:5" ht="16.5" customHeight="1" x14ac:dyDescent="0.25">
      <c r="A76" s="350" t="s">
        <v>363</v>
      </c>
      <c r="B76" s="349">
        <v>113</v>
      </c>
      <c r="C76" s="349">
        <v>241</v>
      </c>
      <c r="D76" s="349">
        <f t="shared" si="3"/>
        <v>128</v>
      </c>
      <c r="E76" s="348">
        <f t="shared" si="5"/>
        <v>1.1327433628318584</v>
      </c>
    </row>
    <row r="77" spans="1:5" ht="16.5" customHeight="1" x14ac:dyDescent="0.25">
      <c r="A77" s="350" t="s">
        <v>364</v>
      </c>
      <c r="B77" s="349">
        <v>110</v>
      </c>
      <c r="C77" s="349">
        <v>131</v>
      </c>
      <c r="D77" s="349">
        <f t="shared" si="3"/>
        <v>21</v>
      </c>
      <c r="E77" s="348">
        <f t="shared" si="5"/>
        <v>0.19090909090909092</v>
      </c>
    </row>
    <row r="78" spans="1:5" ht="16.5" customHeight="1" x14ac:dyDescent="0.25">
      <c r="A78" s="350" t="s">
        <v>365</v>
      </c>
      <c r="B78" s="349">
        <v>185</v>
      </c>
      <c r="C78" s="349">
        <v>257</v>
      </c>
      <c r="D78" s="349">
        <f t="shared" si="3"/>
        <v>72</v>
      </c>
      <c r="E78" s="348">
        <f t="shared" si="5"/>
        <v>0.38918918918918921</v>
      </c>
    </row>
    <row r="79" spans="1:5" ht="16.5" customHeight="1" x14ac:dyDescent="0.25">
      <c r="A79" s="350" t="s">
        <v>370</v>
      </c>
      <c r="B79" s="349">
        <v>20</v>
      </c>
      <c r="C79" s="349">
        <v>27</v>
      </c>
      <c r="D79" s="349">
        <f t="shared" si="3"/>
        <v>7</v>
      </c>
      <c r="E79" s="348">
        <f t="shared" si="5"/>
        <v>0.35</v>
      </c>
    </row>
    <row r="80" spans="1:5" ht="16.5" customHeight="1" x14ac:dyDescent="0.25">
      <c r="A80" s="350" t="s">
        <v>366</v>
      </c>
      <c r="B80" s="349">
        <v>27</v>
      </c>
      <c r="C80" s="349">
        <v>58</v>
      </c>
      <c r="D80" s="349">
        <f t="shared" si="3"/>
        <v>31</v>
      </c>
      <c r="E80" s="348">
        <f t="shared" si="5"/>
        <v>1.1481481481481481</v>
      </c>
    </row>
    <row r="81" spans="1:5" ht="16.5" customHeight="1" x14ac:dyDescent="0.25">
      <c r="A81" s="350" t="s">
        <v>367</v>
      </c>
      <c r="B81" s="349">
        <v>1</v>
      </c>
      <c r="C81" s="349" t="s">
        <v>521</v>
      </c>
      <c r="D81" s="349"/>
      <c r="E81" s="348"/>
    </row>
    <row r="82" spans="1:5" ht="16.5" customHeight="1" x14ac:dyDescent="0.25">
      <c r="A82" s="350" t="s">
        <v>368</v>
      </c>
      <c r="B82" s="349">
        <v>114</v>
      </c>
      <c r="C82" s="349">
        <v>95</v>
      </c>
      <c r="D82" s="349">
        <f>C82-B82</f>
        <v>-19</v>
      </c>
      <c r="E82" s="348">
        <f>(C82-B82)/B82</f>
        <v>-0.16666666666666666</v>
      </c>
    </row>
    <row r="83" spans="1:5" ht="16.5" customHeight="1" x14ac:dyDescent="0.25">
      <c r="A83" s="350" t="s">
        <v>369</v>
      </c>
      <c r="B83" s="349">
        <v>26</v>
      </c>
      <c r="C83" s="349" t="s">
        <v>521</v>
      </c>
      <c r="D83" s="349"/>
      <c r="E83" s="348"/>
    </row>
    <row r="84" spans="1:5" ht="16.5" customHeight="1" x14ac:dyDescent="0.25">
      <c r="A84" s="350" t="s">
        <v>371</v>
      </c>
      <c r="B84" s="349">
        <v>54</v>
      </c>
      <c r="C84" s="349">
        <v>77</v>
      </c>
      <c r="D84" s="349">
        <f t="shared" ref="D84:D89" si="6">C84-B84</f>
        <v>23</v>
      </c>
      <c r="E84" s="348">
        <f t="shared" ref="E84:E89" si="7">(C84-B84)/B84</f>
        <v>0.42592592592592593</v>
      </c>
    </row>
    <row r="85" spans="1:5" ht="16.5" customHeight="1" x14ac:dyDescent="0.25">
      <c r="A85" s="350" t="s">
        <v>372</v>
      </c>
      <c r="B85" s="349">
        <v>13</v>
      </c>
      <c r="C85" s="349">
        <v>18</v>
      </c>
      <c r="D85" s="349">
        <f t="shared" si="6"/>
        <v>5</v>
      </c>
      <c r="E85" s="348">
        <f t="shared" si="7"/>
        <v>0.38461538461538464</v>
      </c>
    </row>
    <row r="86" spans="1:5" ht="16.5" customHeight="1" x14ac:dyDescent="0.25">
      <c r="A86" s="350" t="s">
        <v>373</v>
      </c>
      <c r="B86" s="349">
        <v>9</v>
      </c>
      <c r="C86" s="349">
        <v>25</v>
      </c>
      <c r="D86" s="349">
        <f t="shared" si="6"/>
        <v>16</v>
      </c>
      <c r="E86" s="348">
        <f t="shared" si="7"/>
        <v>1.7777777777777777</v>
      </c>
    </row>
    <row r="87" spans="1:5" ht="16.5" customHeight="1" x14ac:dyDescent="0.25">
      <c r="A87" s="350" t="s">
        <v>374</v>
      </c>
      <c r="B87" s="349">
        <v>18</v>
      </c>
      <c r="C87" s="349">
        <v>33</v>
      </c>
      <c r="D87" s="349">
        <f t="shared" si="6"/>
        <v>15</v>
      </c>
      <c r="E87" s="348">
        <f t="shared" si="7"/>
        <v>0.83333333333333337</v>
      </c>
    </row>
    <row r="88" spans="1:5" ht="16.5" customHeight="1" x14ac:dyDescent="0.25">
      <c r="A88" s="350" t="s">
        <v>375</v>
      </c>
      <c r="B88" s="349">
        <v>11</v>
      </c>
      <c r="C88" s="349">
        <v>14</v>
      </c>
      <c r="D88" s="349">
        <f t="shared" si="6"/>
        <v>3</v>
      </c>
      <c r="E88" s="348">
        <f t="shared" si="7"/>
        <v>0.27272727272727271</v>
      </c>
    </row>
    <row r="89" spans="1:5" ht="16.5" customHeight="1" x14ac:dyDescent="0.25">
      <c r="A89" s="350" t="s">
        <v>376</v>
      </c>
      <c r="B89" s="349">
        <v>50</v>
      </c>
      <c r="C89" s="349">
        <v>27</v>
      </c>
      <c r="D89" s="349">
        <f t="shared" si="6"/>
        <v>-23</v>
      </c>
      <c r="E89" s="348">
        <f t="shared" si="7"/>
        <v>-0.46</v>
      </c>
    </row>
    <row r="90" spans="1:5" ht="16.5" customHeight="1" x14ac:dyDescent="0.25">
      <c r="A90" s="350" t="s">
        <v>527</v>
      </c>
      <c r="B90" s="349">
        <v>10</v>
      </c>
      <c r="C90" s="349" t="s">
        <v>524</v>
      </c>
      <c r="D90" s="349"/>
      <c r="E90" s="348"/>
    </row>
    <row r="91" spans="1:5" ht="16.5" customHeight="1" x14ac:dyDescent="0.25">
      <c r="A91" s="350" t="s">
        <v>377</v>
      </c>
      <c r="B91" s="349">
        <v>66</v>
      </c>
      <c r="C91" s="349">
        <v>114</v>
      </c>
      <c r="D91" s="349">
        <f t="shared" ref="D91:D122" si="8">C91-B91</f>
        <v>48</v>
      </c>
      <c r="E91" s="348">
        <f>(C91-B91)/B91</f>
        <v>0.72727272727272729</v>
      </c>
    </row>
    <row r="92" spans="1:5" ht="16.5" customHeight="1" x14ac:dyDescent="0.25">
      <c r="A92" s="350" t="s">
        <v>378</v>
      </c>
      <c r="B92" s="349">
        <v>90</v>
      </c>
      <c r="C92" s="349">
        <v>71</v>
      </c>
      <c r="D92" s="349">
        <f t="shared" si="8"/>
        <v>-19</v>
      </c>
      <c r="E92" s="348">
        <f>(C92-B92)/B92</f>
        <v>-0.21111111111111111</v>
      </c>
    </row>
    <row r="93" spans="1:5" ht="16.5" customHeight="1" x14ac:dyDescent="0.25">
      <c r="A93" s="350" t="s">
        <v>379</v>
      </c>
      <c r="B93" s="349">
        <v>73</v>
      </c>
      <c r="C93" s="349">
        <v>130</v>
      </c>
      <c r="D93" s="349">
        <f t="shared" si="8"/>
        <v>57</v>
      </c>
      <c r="E93" s="348">
        <f>(C93-B93)/B93</f>
        <v>0.78082191780821919</v>
      </c>
    </row>
    <row r="94" spans="1:5" ht="16.5" customHeight="1" x14ac:dyDescent="0.25">
      <c r="A94" s="350" t="s">
        <v>15</v>
      </c>
      <c r="B94" s="349">
        <v>1051</v>
      </c>
      <c r="C94" s="349">
        <v>1289</v>
      </c>
      <c r="D94" s="349">
        <f t="shared" si="8"/>
        <v>238</v>
      </c>
      <c r="E94" s="348">
        <f>(C94-B94)/B94</f>
        <v>0.22645099904852523</v>
      </c>
    </row>
    <row r="95" spans="1:5" ht="16.5" customHeight="1" x14ac:dyDescent="0.25">
      <c r="A95" s="350" t="s">
        <v>380</v>
      </c>
      <c r="B95" s="349">
        <v>56</v>
      </c>
      <c r="C95" s="349">
        <v>67</v>
      </c>
      <c r="D95" s="349">
        <f t="shared" si="8"/>
        <v>11</v>
      </c>
      <c r="E95" s="348">
        <f>(C95-B95)/B95</f>
        <v>0.19642857142857142</v>
      </c>
    </row>
    <row r="96" spans="1:5" ht="16.5" customHeight="1" x14ac:dyDescent="0.25">
      <c r="A96" s="350" t="s">
        <v>381</v>
      </c>
      <c r="B96" s="349">
        <v>0</v>
      </c>
      <c r="C96" s="349">
        <v>1</v>
      </c>
      <c r="D96" s="349">
        <f t="shared" si="8"/>
        <v>1</v>
      </c>
      <c r="E96" s="348"/>
    </row>
    <row r="97" spans="1:5" ht="16.5" customHeight="1" x14ac:dyDescent="0.25">
      <c r="A97" s="350" t="s">
        <v>382</v>
      </c>
      <c r="B97" s="349">
        <v>128</v>
      </c>
      <c r="C97" s="349">
        <v>276</v>
      </c>
      <c r="D97" s="349">
        <f t="shared" si="8"/>
        <v>148</v>
      </c>
      <c r="E97" s="348">
        <f t="shared" ref="E97:E110" si="9">(C97-B97)/B97</f>
        <v>1.15625</v>
      </c>
    </row>
    <row r="98" spans="1:5" ht="16.5" customHeight="1" x14ac:dyDescent="0.25">
      <c r="A98" s="350" t="s">
        <v>383</v>
      </c>
      <c r="B98" s="349">
        <v>593</v>
      </c>
      <c r="C98" s="349">
        <v>912</v>
      </c>
      <c r="D98" s="349">
        <f t="shared" si="8"/>
        <v>319</v>
      </c>
      <c r="E98" s="348">
        <f t="shared" si="9"/>
        <v>0.53794266441821248</v>
      </c>
    </row>
    <row r="99" spans="1:5" ht="16.5" customHeight="1" x14ac:dyDescent="0.25">
      <c r="A99" s="350" t="s">
        <v>384</v>
      </c>
      <c r="B99" s="349">
        <v>14</v>
      </c>
      <c r="C99" s="349">
        <v>40</v>
      </c>
      <c r="D99" s="349">
        <f t="shared" si="8"/>
        <v>26</v>
      </c>
      <c r="E99" s="348">
        <f t="shared" si="9"/>
        <v>1.8571428571428572</v>
      </c>
    </row>
    <row r="100" spans="1:5" ht="16.5" customHeight="1" x14ac:dyDescent="0.25">
      <c r="A100" s="350" t="s">
        <v>526</v>
      </c>
      <c r="B100" s="349">
        <v>194</v>
      </c>
      <c r="C100" s="349">
        <v>471</v>
      </c>
      <c r="D100" s="349">
        <f t="shared" si="8"/>
        <v>277</v>
      </c>
      <c r="E100" s="348">
        <f t="shared" si="9"/>
        <v>1.4278350515463918</v>
      </c>
    </row>
    <row r="101" spans="1:5" ht="16.5" customHeight="1" x14ac:dyDescent="0.25">
      <c r="A101" s="350" t="s">
        <v>385</v>
      </c>
      <c r="B101" s="349">
        <v>49</v>
      </c>
      <c r="C101" s="349">
        <v>113</v>
      </c>
      <c r="D101" s="349">
        <f t="shared" si="8"/>
        <v>64</v>
      </c>
      <c r="E101" s="348">
        <f t="shared" si="9"/>
        <v>1.3061224489795917</v>
      </c>
    </row>
    <row r="102" spans="1:5" ht="16.5" customHeight="1" x14ac:dyDescent="0.25">
      <c r="A102" s="350" t="s">
        <v>386</v>
      </c>
      <c r="B102" s="349">
        <v>193</v>
      </c>
      <c r="C102" s="349">
        <v>323</v>
      </c>
      <c r="D102" s="349">
        <f t="shared" si="8"/>
        <v>130</v>
      </c>
      <c r="E102" s="348">
        <f t="shared" si="9"/>
        <v>0.67357512953367871</v>
      </c>
    </row>
    <row r="103" spans="1:5" ht="16.5" customHeight="1" x14ac:dyDescent="0.25">
      <c r="A103" s="350" t="s">
        <v>387</v>
      </c>
      <c r="B103" s="349">
        <v>22</v>
      </c>
      <c r="C103" s="349">
        <v>26</v>
      </c>
      <c r="D103" s="349">
        <f t="shared" si="8"/>
        <v>4</v>
      </c>
      <c r="E103" s="348">
        <f t="shared" si="9"/>
        <v>0.18181818181818182</v>
      </c>
    </row>
    <row r="104" spans="1:5" ht="16.5" customHeight="1" x14ac:dyDescent="0.25">
      <c r="A104" s="350" t="s">
        <v>388</v>
      </c>
      <c r="B104" s="349">
        <v>25</v>
      </c>
      <c r="C104" s="349">
        <v>33</v>
      </c>
      <c r="D104" s="349">
        <f t="shared" si="8"/>
        <v>8</v>
      </c>
      <c r="E104" s="348">
        <f t="shared" si="9"/>
        <v>0.32</v>
      </c>
    </row>
    <row r="105" spans="1:5" ht="16.5" customHeight="1" x14ac:dyDescent="0.25">
      <c r="A105" s="350" t="s">
        <v>389</v>
      </c>
      <c r="B105" s="349">
        <v>194</v>
      </c>
      <c r="C105" s="349">
        <v>337</v>
      </c>
      <c r="D105" s="349">
        <f t="shared" si="8"/>
        <v>143</v>
      </c>
      <c r="E105" s="348">
        <f t="shared" si="9"/>
        <v>0.73711340206185572</v>
      </c>
    </row>
    <row r="106" spans="1:5" ht="16.5" customHeight="1" x14ac:dyDescent="0.25">
      <c r="A106" s="350" t="s">
        <v>390</v>
      </c>
      <c r="B106" s="349">
        <v>1</v>
      </c>
      <c r="C106" s="349">
        <v>1</v>
      </c>
      <c r="D106" s="349">
        <f t="shared" si="8"/>
        <v>0</v>
      </c>
      <c r="E106" s="348">
        <f t="shared" si="9"/>
        <v>0</v>
      </c>
    </row>
    <row r="107" spans="1:5" ht="16.5" customHeight="1" x14ac:dyDescent="0.25">
      <c r="A107" s="350" t="s">
        <v>391</v>
      </c>
      <c r="B107" s="349">
        <v>6</v>
      </c>
      <c r="C107" s="349">
        <v>16</v>
      </c>
      <c r="D107" s="349">
        <f t="shared" si="8"/>
        <v>10</v>
      </c>
      <c r="E107" s="348">
        <f t="shared" si="9"/>
        <v>1.6666666666666667</v>
      </c>
    </row>
    <row r="108" spans="1:5" ht="16.5" customHeight="1" x14ac:dyDescent="0.25">
      <c r="A108" s="350" t="s">
        <v>392</v>
      </c>
      <c r="B108" s="349">
        <v>48</v>
      </c>
      <c r="C108" s="349">
        <v>95</v>
      </c>
      <c r="D108" s="349">
        <f t="shared" si="8"/>
        <v>47</v>
      </c>
      <c r="E108" s="348">
        <f t="shared" si="9"/>
        <v>0.97916666666666663</v>
      </c>
    </row>
    <row r="109" spans="1:5" ht="16.5" customHeight="1" x14ac:dyDescent="0.25">
      <c r="A109" s="350" t="s">
        <v>393</v>
      </c>
      <c r="B109" s="349">
        <v>142</v>
      </c>
      <c r="C109" s="349">
        <v>217</v>
      </c>
      <c r="D109" s="349">
        <f t="shared" si="8"/>
        <v>75</v>
      </c>
      <c r="E109" s="348">
        <f t="shared" si="9"/>
        <v>0.528169014084507</v>
      </c>
    </row>
    <row r="110" spans="1:5" ht="16.5" customHeight="1" x14ac:dyDescent="0.25">
      <c r="A110" s="350" t="s">
        <v>394</v>
      </c>
      <c r="B110" s="349">
        <v>2</v>
      </c>
      <c r="C110" s="349">
        <v>4</v>
      </c>
      <c r="D110" s="349">
        <f t="shared" si="8"/>
        <v>2</v>
      </c>
      <c r="E110" s="348">
        <f t="shared" si="9"/>
        <v>1</v>
      </c>
    </row>
    <row r="111" spans="1:5" ht="16.5" customHeight="1" x14ac:dyDescent="0.25">
      <c r="A111" s="350" t="s">
        <v>395</v>
      </c>
      <c r="B111" s="349">
        <v>0</v>
      </c>
      <c r="C111" s="349">
        <v>13</v>
      </c>
      <c r="D111" s="349">
        <f t="shared" si="8"/>
        <v>13</v>
      </c>
      <c r="E111" s="348"/>
    </row>
    <row r="112" spans="1:5" ht="16.5" customHeight="1" x14ac:dyDescent="0.25">
      <c r="A112" s="350" t="s">
        <v>397</v>
      </c>
      <c r="B112" s="349">
        <v>49</v>
      </c>
      <c r="C112" s="349">
        <v>107</v>
      </c>
      <c r="D112" s="349">
        <f t="shared" si="8"/>
        <v>58</v>
      </c>
      <c r="E112" s="348">
        <f t="shared" ref="E112:E120" si="10">(C112-B112)/B112</f>
        <v>1.1836734693877551</v>
      </c>
    </row>
    <row r="113" spans="1:5" ht="16.5" customHeight="1" x14ac:dyDescent="0.25">
      <c r="A113" s="350" t="s">
        <v>398</v>
      </c>
      <c r="B113" s="349">
        <v>129</v>
      </c>
      <c r="C113" s="349">
        <v>176</v>
      </c>
      <c r="D113" s="349">
        <f t="shared" si="8"/>
        <v>47</v>
      </c>
      <c r="E113" s="348">
        <f t="shared" si="10"/>
        <v>0.36434108527131781</v>
      </c>
    </row>
    <row r="114" spans="1:5" ht="16.5" customHeight="1" x14ac:dyDescent="0.25">
      <c r="A114" s="350" t="s">
        <v>399</v>
      </c>
      <c r="B114" s="349">
        <v>88</v>
      </c>
      <c r="C114" s="349">
        <v>205</v>
      </c>
      <c r="D114" s="349">
        <f t="shared" si="8"/>
        <v>117</v>
      </c>
      <c r="E114" s="348">
        <f t="shared" si="10"/>
        <v>1.3295454545454546</v>
      </c>
    </row>
    <row r="115" spans="1:5" ht="16.5" customHeight="1" x14ac:dyDescent="0.25">
      <c r="A115" s="350" t="s">
        <v>400</v>
      </c>
      <c r="B115" s="349">
        <v>73</v>
      </c>
      <c r="C115" s="349">
        <v>100</v>
      </c>
      <c r="D115" s="349">
        <f t="shared" si="8"/>
        <v>27</v>
      </c>
      <c r="E115" s="348">
        <f t="shared" si="10"/>
        <v>0.36986301369863012</v>
      </c>
    </row>
    <row r="116" spans="1:5" ht="16.5" customHeight="1" x14ac:dyDescent="0.25">
      <c r="A116" s="350" t="s">
        <v>401</v>
      </c>
      <c r="B116" s="349">
        <v>290</v>
      </c>
      <c r="C116" s="349">
        <v>344</v>
      </c>
      <c r="D116" s="349">
        <f t="shared" si="8"/>
        <v>54</v>
      </c>
      <c r="E116" s="348">
        <f t="shared" si="10"/>
        <v>0.18620689655172415</v>
      </c>
    </row>
    <row r="117" spans="1:5" ht="16.5" customHeight="1" x14ac:dyDescent="0.25">
      <c r="A117" s="350" t="s">
        <v>402</v>
      </c>
      <c r="B117" s="349">
        <v>346</v>
      </c>
      <c r="C117" s="349">
        <v>448</v>
      </c>
      <c r="D117" s="349">
        <f t="shared" si="8"/>
        <v>102</v>
      </c>
      <c r="E117" s="348">
        <f t="shared" si="10"/>
        <v>0.2947976878612717</v>
      </c>
    </row>
    <row r="118" spans="1:5" ht="16.5" customHeight="1" x14ac:dyDescent="0.25">
      <c r="A118" s="350" t="s">
        <v>403</v>
      </c>
      <c r="B118" s="349">
        <v>214</v>
      </c>
      <c r="C118" s="349">
        <v>220</v>
      </c>
      <c r="D118" s="349">
        <f t="shared" si="8"/>
        <v>6</v>
      </c>
      <c r="E118" s="348">
        <f t="shared" si="10"/>
        <v>2.8037383177570093E-2</v>
      </c>
    </row>
    <row r="119" spans="1:5" ht="16.5" customHeight="1" x14ac:dyDescent="0.25">
      <c r="A119" s="350" t="s">
        <v>404</v>
      </c>
      <c r="B119" s="349">
        <v>1</v>
      </c>
      <c r="C119" s="349">
        <v>4</v>
      </c>
      <c r="D119" s="349">
        <f t="shared" si="8"/>
        <v>3</v>
      </c>
      <c r="E119" s="348">
        <f t="shared" si="10"/>
        <v>3</v>
      </c>
    </row>
    <row r="120" spans="1:5" ht="16.5" customHeight="1" x14ac:dyDescent="0.25">
      <c r="A120" s="350" t="s">
        <v>405</v>
      </c>
      <c r="B120" s="349">
        <v>1</v>
      </c>
      <c r="C120" s="349">
        <v>3</v>
      </c>
      <c r="D120" s="349">
        <f t="shared" si="8"/>
        <v>2</v>
      </c>
      <c r="E120" s="348">
        <f t="shared" si="10"/>
        <v>2</v>
      </c>
    </row>
    <row r="121" spans="1:5" ht="16.5" customHeight="1" x14ac:dyDescent="0.25">
      <c r="A121" s="350" t="s">
        <v>255</v>
      </c>
      <c r="B121" s="349">
        <v>0</v>
      </c>
      <c r="C121" s="349">
        <v>4</v>
      </c>
      <c r="D121" s="349">
        <f t="shared" si="8"/>
        <v>4</v>
      </c>
      <c r="E121" s="348"/>
    </row>
    <row r="122" spans="1:5" ht="16.5" customHeight="1" x14ac:dyDescent="0.25">
      <c r="A122" s="350" t="s">
        <v>406</v>
      </c>
      <c r="B122" s="349">
        <v>10</v>
      </c>
      <c r="C122" s="349">
        <v>4</v>
      </c>
      <c r="D122" s="349">
        <f t="shared" si="8"/>
        <v>-6</v>
      </c>
      <c r="E122" s="348">
        <f>(C122-B122)/B122</f>
        <v>-0.6</v>
      </c>
    </row>
    <row r="123" spans="1:5" ht="16.5" customHeight="1" x14ac:dyDescent="0.25">
      <c r="A123" s="350" t="s">
        <v>396</v>
      </c>
      <c r="B123" s="349">
        <v>0</v>
      </c>
      <c r="C123" s="349" t="s">
        <v>521</v>
      </c>
      <c r="D123" s="349"/>
      <c r="E123" s="348"/>
    </row>
    <row r="124" spans="1:5" ht="16.5" customHeight="1" x14ac:dyDescent="0.25">
      <c r="A124" s="350" t="s">
        <v>407</v>
      </c>
      <c r="B124" s="349">
        <v>131</v>
      </c>
      <c r="C124" s="349">
        <v>204</v>
      </c>
      <c r="D124" s="349">
        <f t="shared" ref="D124:D134" si="11">C124-B124</f>
        <v>73</v>
      </c>
      <c r="E124" s="348">
        <f>(C124-B124)/B124</f>
        <v>0.5572519083969466</v>
      </c>
    </row>
    <row r="125" spans="1:5" ht="16.5" customHeight="1" x14ac:dyDescent="0.25">
      <c r="A125" s="350" t="s">
        <v>262</v>
      </c>
      <c r="B125" s="349">
        <v>0</v>
      </c>
      <c r="C125" s="349">
        <v>7</v>
      </c>
      <c r="D125" s="349">
        <f t="shared" si="11"/>
        <v>7</v>
      </c>
      <c r="E125" s="348"/>
    </row>
    <row r="126" spans="1:5" ht="16.5" customHeight="1" x14ac:dyDescent="0.25">
      <c r="A126" s="350" t="s">
        <v>408</v>
      </c>
      <c r="B126" s="349">
        <v>50</v>
      </c>
      <c r="C126" s="349">
        <v>112</v>
      </c>
      <c r="D126" s="349">
        <f t="shared" si="11"/>
        <v>62</v>
      </c>
      <c r="E126" s="348">
        <f>(C126-B126)/B126</f>
        <v>1.24</v>
      </c>
    </row>
    <row r="127" spans="1:5" ht="16.5" customHeight="1" x14ac:dyDescent="0.25">
      <c r="A127" s="350" t="s">
        <v>263</v>
      </c>
      <c r="B127" s="349">
        <v>0</v>
      </c>
      <c r="C127" s="349">
        <v>15</v>
      </c>
      <c r="D127" s="349">
        <f t="shared" si="11"/>
        <v>15</v>
      </c>
      <c r="E127" s="348"/>
    </row>
    <row r="128" spans="1:5" ht="16.5" customHeight="1" x14ac:dyDescent="0.25">
      <c r="A128" s="350" t="s">
        <v>409</v>
      </c>
      <c r="B128" s="349">
        <v>15</v>
      </c>
      <c r="C128" s="349">
        <v>15</v>
      </c>
      <c r="D128" s="349">
        <f t="shared" si="11"/>
        <v>0</v>
      </c>
      <c r="E128" s="348">
        <f>(C128-B128)/B128</f>
        <v>0</v>
      </c>
    </row>
    <row r="129" spans="1:5" ht="16.5" customHeight="1" x14ac:dyDescent="0.25">
      <c r="A129" s="350" t="s">
        <v>410</v>
      </c>
      <c r="B129" s="349">
        <v>3</v>
      </c>
      <c r="C129" s="349">
        <v>24</v>
      </c>
      <c r="D129" s="349">
        <f t="shared" si="11"/>
        <v>21</v>
      </c>
      <c r="E129" s="348">
        <f>(C129-B129)/B129</f>
        <v>7</v>
      </c>
    </row>
    <row r="130" spans="1:5" ht="16.5" customHeight="1" x14ac:dyDescent="0.25">
      <c r="A130" s="350" t="s">
        <v>411</v>
      </c>
      <c r="B130" s="349">
        <v>0</v>
      </c>
      <c r="C130" s="349">
        <v>5</v>
      </c>
      <c r="D130" s="349">
        <f t="shared" si="11"/>
        <v>5</v>
      </c>
      <c r="E130" s="348"/>
    </row>
    <row r="131" spans="1:5" ht="16.5" customHeight="1" x14ac:dyDescent="0.25">
      <c r="A131" s="350" t="s">
        <v>412</v>
      </c>
      <c r="B131" s="349">
        <v>110</v>
      </c>
      <c r="C131" s="349">
        <v>213</v>
      </c>
      <c r="D131" s="349">
        <f t="shared" si="11"/>
        <v>103</v>
      </c>
      <c r="E131" s="348">
        <f>(C131-B131)/B131</f>
        <v>0.9363636363636364</v>
      </c>
    </row>
    <row r="132" spans="1:5" ht="16.5" customHeight="1" x14ac:dyDescent="0.25">
      <c r="A132" s="350" t="s">
        <v>413</v>
      </c>
      <c r="B132" s="349">
        <v>86</v>
      </c>
      <c r="C132" s="349">
        <v>122</v>
      </c>
      <c r="D132" s="349">
        <f t="shared" si="11"/>
        <v>36</v>
      </c>
      <c r="E132" s="348">
        <f>(C132-B132)/B132</f>
        <v>0.41860465116279072</v>
      </c>
    </row>
    <row r="133" spans="1:5" ht="16.5" customHeight="1" x14ac:dyDescent="0.25">
      <c r="A133" s="350" t="s">
        <v>414</v>
      </c>
      <c r="B133" s="349">
        <v>177</v>
      </c>
      <c r="C133" s="349">
        <v>182</v>
      </c>
      <c r="D133" s="349">
        <f t="shared" si="11"/>
        <v>5</v>
      </c>
      <c r="E133" s="348">
        <f>(C133-B133)/B133</f>
        <v>2.8248587570621469E-2</v>
      </c>
    </row>
    <row r="134" spans="1:5" ht="16.5" customHeight="1" x14ac:dyDescent="0.25">
      <c r="A134" s="350" t="s">
        <v>415</v>
      </c>
      <c r="B134" s="349">
        <v>3</v>
      </c>
      <c r="C134" s="349">
        <v>13</v>
      </c>
      <c r="D134" s="349">
        <f t="shared" si="11"/>
        <v>10</v>
      </c>
      <c r="E134" s="348">
        <f>(C134-B134)/B134</f>
        <v>3.3333333333333335</v>
      </c>
    </row>
    <row r="135" spans="1:5" ht="16.5" customHeight="1" x14ac:dyDescent="0.25">
      <c r="A135" s="350" t="s">
        <v>133</v>
      </c>
      <c r="B135" s="349">
        <v>7</v>
      </c>
      <c r="C135" s="349" t="s">
        <v>521</v>
      </c>
      <c r="D135" s="349"/>
      <c r="E135" s="348"/>
    </row>
    <row r="136" spans="1:5" ht="16.5" customHeight="1" x14ac:dyDescent="0.25">
      <c r="A136" s="350" t="s">
        <v>416</v>
      </c>
      <c r="B136" s="349">
        <v>6</v>
      </c>
      <c r="C136" s="349">
        <v>16</v>
      </c>
      <c r="D136" s="349">
        <f t="shared" ref="D136:D142" si="12">C136-B136</f>
        <v>10</v>
      </c>
      <c r="E136" s="348">
        <f t="shared" ref="E136:E141" si="13">(C136-B136)/B136</f>
        <v>1.6666666666666667</v>
      </c>
    </row>
    <row r="137" spans="1:5" ht="16.5" customHeight="1" x14ac:dyDescent="0.25">
      <c r="A137" s="350" t="s">
        <v>417</v>
      </c>
      <c r="B137" s="349">
        <v>7</v>
      </c>
      <c r="C137" s="349">
        <v>6</v>
      </c>
      <c r="D137" s="349">
        <f t="shared" si="12"/>
        <v>-1</v>
      </c>
      <c r="E137" s="348">
        <f t="shared" si="13"/>
        <v>-0.14285714285714285</v>
      </c>
    </row>
    <row r="138" spans="1:5" ht="16.5" customHeight="1" x14ac:dyDescent="0.25">
      <c r="A138" s="350" t="s">
        <v>418</v>
      </c>
      <c r="B138" s="349">
        <v>267</v>
      </c>
      <c r="C138" s="349">
        <v>253</v>
      </c>
      <c r="D138" s="349">
        <f t="shared" si="12"/>
        <v>-14</v>
      </c>
      <c r="E138" s="348">
        <f t="shared" si="13"/>
        <v>-5.2434456928838954E-2</v>
      </c>
    </row>
    <row r="139" spans="1:5" ht="16.5" customHeight="1" x14ac:dyDescent="0.25">
      <c r="A139" s="350" t="s">
        <v>419</v>
      </c>
      <c r="B139" s="349">
        <v>35</v>
      </c>
      <c r="C139" s="349">
        <v>95</v>
      </c>
      <c r="D139" s="349">
        <f t="shared" si="12"/>
        <v>60</v>
      </c>
      <c r="E139" s="348">
        <f t="shared" si="13"/>
        <v>1.7142857142857142</v>
      </c>
    </row>
    <row r="140" spans="1:5" ht="16.5" customHeight="1" x14ac:dyDescent="0.25">
      <c r="A140" s="350" t="s">
        <v>420</v>
      </c>
      <c r="B140" s="349">
        <v>21</v>
      </c>
      <c r="C140" s="349">
        <v>39</v>
      </c>
      <c r="D140" s="349">
        <f t="shared" si="12"/>
        <v>18</v>
      </c>
      <c r="E140" s="348">
        <f t="shared" si="13"/>
        <v>0.8571428571428571</v>
      </c>
    </row>
    <row r="141" spans="1:5" ht="16.5" customHeight="1" x14ac:dyDescent="0.25">
      <c r="A141" s="350" t="s">
        <v>421</v>
      </c>
      <c r="B141" s="349">
        <v>32</v>
      </c>
      <c r="C141" s="349">
        <v>50</v>
      </c>
      <c r="D141" s="349">
        <f t="shared" si="12"/>
        <v>18</v>
      </c>
      <c r="E141" s="348">
        <f t="shared" si="13"/>
        <v>0.5625</v>
      </c>
    </row>
    <row r="142" spans="1:5" ht="16.5" customHeight="1" x14ac:dyDescent="0.25">
      <c r="A142" s="350" t="s">
        <v>422</v>
      </c>
      <c r="B142" s="349">
        <v>0</v>
      </c>
      <c r="C142" s="349">
        <v>2</v>
      </c>
      <c r="D142" s="349">
        <f t="shared" si="12"/>
        <v>2</v>
      </c>
      <c r="E142" s="348"/>
    </row>
    <row r="143" spans="1:5" ht="16.5" customHeight="1" x14ac:dyDescent="0.25">
      <c r="A143" s="350" t="s">
        <v>423</v>
      </c>
      <c r="B143" s="349">
        <v>0</v>
      </c>
      <c r="C143" s="349" t="s">
        <v>521</v>
      </c>
      <c r="D143" s="349"/>
      <c r="E143" s="348"/>
    </row>
    <row r="144" spans="1:5" ht="16.5" customHeight="1" x14ac:dyDescent="0.25">
      <c r="A144" s="350" t="s">
        <v>425</v>
      </c>
      <c r="B144" s="349">
        <v>7</v>
      </c>
      <c r="C144" s="349">
        <v>7</v>
      </c>
      <c r="D144" s="349">
        <f t="shared" ref="D144:D153" si="14">C144-B144</f>
        <v>0</v>
      </c>
      <c r="E144" s="348">
        <f t="shared" ref="E144:E152" si="15">(C144-B144)/B144</f>
        <v>0</v>
      </c>
    </row>
    <row r="145" spans="1:5" ht="16.5" customHeight="1" x14ac:dyDescent="0.25">
      <c r="A145" s="350" t="s">
        <v>426</v>
      </c>
      <c r="B145" s="349">
        <v>57</v>
      </c>
      <c r="C145" s="349">
        <v>78</v>
      </c>
      <c r="D145" s="349">
        <f t="shared" si="14"/>
        <v>21</v>
      </c>
      <c r="E145" s="348">
        <f t="shared" si="15"/>
        <v>0.36842105263157893</v>
      </c>
    </row>
    <row r="146" spans="1:5" ht="16.5" customHeight="1" x14ac:dyDescent="0.25">
      <c r="A146" s="350" t="s">
        <v>427</v>
      </c>
      <c r="B146" s="349">
        <v>59</v>
      </c>
      <c r="C146" s="349">
        <v>63</v>
      </c>
      <c r="D146" s="349">
        <f t="shared" si="14"/>
        <v>4</v>
      </c>
      <c r="E146" s="348">
        <f t="shared" si="15"/>
        <v>6.7796610169491525E-2</v>
      </c>
    </row>
    <row r="147" spans="1:5" ht="16.5" customHeight="1" x14ac:dyDescent="0.25">
      <c r="A147" s="350" t="s">
        <v>428</v>
      </c>
      <c r="B147" s="349">
        <v>86</v>
      </c>
      <c r="C147" s="349">
        <v>102</v>
      </c>
      <c r="D147" s="349">
        <f t="shared" si="14"/>
        <v>16</v>
      </c>
      <c r="E147" s="348">
        <f t="shared" si="15"/>
        <v>0.18604651162790697</v>
      </c>
    </row>
    <row r="148" spans="1:5" ht="16.5" customHeight="1" x14ac:dyDescent="0.25">
      <c r="A148" s="350" t="s">
        <v>432</v>
      </c>
      <c r="B148" s="349">
        <v>101</v>
      </c>
      <c r="C148" s="349">
        <v>142</v>
      </c>
      <c r="D148" s="349">
        <f t="shared" si="14"/>
        <v>41</v>
      </c>
      <c r="E148" s="348">
        <f t="shared" si="15"/>
        <v>0.40594059405940597</v>
      </c>
    </row>
    <row r="149" spans="1:5" ht="16.5" customHeight="1" x14ac:dyDescent="0.25">
      <c r="A149" s="350" t="s">
        <v>429</v>
      </c>
      <c r="B149" s="349">
        <v>119</v>
      </c>
      <c r="C149" s="349">
        <v>149</v>
      </c>
      <c r="D149" s="349">
        <f t="shared" si="14"/>
        <v>30</v>
      </c>
      <c r="E149" s="348">
        <f t="shared" si="15"/>
        <v>0.25210084033613445</v>
      </c>
    </row>
    <row r="150" spans="1:5" ht="16.5" customHeight="1" x14ac:dyDescent="0.25">
      <c r="A150" s="350" t="s">
        <v>430</v>
      </c>
      <c r="B150" s="349">
        <v>68</v>
      </c>
      <c r="C150" s="349">
        <v>79</v>
      </c>
      <c r="D150" s="349">
        <f t="shared" si="14"/>
        <v>11</v>
      </c>
      <c r="E150" s="348">
        <f t="shared" si="15"/>
        <v>0.16176470588235295</v>
      </c>
    </row>
    <row r="151" spans="1:5" ht="16.5" customHeight="1" x14ac:dyDescent="0.25">
      <c r="A151" s="350" t="s">
        <v>274</v>
      </c>
      <c r="B151" s="349">
        <v>13</v>
      </c>
      <c r="C151" s="349">
        <v>25</v>
      </c>
      <c r="D151" s="349">
        <f t="shared" si="14"/>
        <v>12</v>
      </c>
      <c r="E151" s="348">
        <f t="shared" si="15"/>
        <v>0.92307692307692313</v>
      </c>
    </row>
    <row r="152" spans="1:5" ht="16.5" customHeight="1" x14ac:dyDescent="0.25">
      <c r="A152" s="350" t="s">
        <v>433</v>
      </c>
      <c r="B152" s="349">
        <v>250</v>
      </c>
      <c r="C152" s="349">
        <v>289</v>
      </c>
      <c r="D152" s="349">
        <f t="shared" si="14"/>
        <v>39</v>
      </c>
      <c r="E152" s="348">
        <f t="shared" si="15"/>
        <v>0.156</v>
      </c>
    </row>
    <row r="153" spans="1:5" ht="16.5" customHeight="1" x14ac:dyDescent="0.25">
      <c r="A153" s="350" t="s">
        <v>434</v>
      </c>
      <c r="B153" s="349">
        <v>0</v>
      </c>
      <c r="C153" s="349">
        <v>26</v>
      </c>
      <c r="D153" s="349">
        <f t="shared" si="14"/>
        <v>26</v>
      </c>
      <c r="E153" s="348"/>
    </row>
    <row r="154" spans="1:5" ht="16.5" customHeight="1" x14ac:dyDescent="0.25">
      <c r="A154" s="350" t="s">
        <v>431</v>
      </c>
      <c r="B154" s="349">
        <v>2</v>
      </c>
      <c r="C154" s="349" t="s">
        <v>521</v>
      </c>
      <c r="D154" s="349"/>
      <c r="E154" s="348"/>
    </row>
    <row r="155" spans="1:5" ht="16.5" customHeight="1" x14ac:dyDescent="0.25">
      <c r="A155" s="350" t="s">
        <v>435</v>
      </c>
      <c r="B155" s="349">
        <v>3</v>
      </c>
      <c r="C155" s="349">
        <v>10</v>
      </c>
      <c r="D155" s="349">
        <f t="shared" ref="D155:D170" si="16">C155-B155</f>
        <v>7</v>
      </c>
      <c r="E155" s="348">
        <f t="shared" ref="E155:E170" si="17">(C155-B155)/B155</f>
        <v>2.3333333333333335</v>
      </c>
    </row>
    <row r="156" spans="1:5" ht="16.5" customHeight="1" x14ac:dyDescent="0.25">
      <c r="A156" s="350" t="s">
        <v>436</v>
      </c>
      <c r="B156" s="349">
        <v>5</v>
      </c>
      <c r="C156" s="349">
        <v>15</v>
      </c>
      <c r="D156" s="349">
        <f t="shared" si="16"/>
        <v>10</v>
      </c>
      <c r="E156" s="348">
        <f t="shared" si="17"/>
        <v>2</v>
      </c>
    </row>
    <row r="157" spans="1:5" ht="16.5" customHeight="1" x14ac:dyDescent="0.25">
      <c r="A157" s="350" t="s">
        <v>437</v>
      </c>
      <c r="B157" s="349">
        <v>225</v>
      </c>
      <c r="C157" s="349">
        <v>284</v>
      </c>
      <c r="D157" s="349">
        <f t="shared" si="16"/>
        <v>59</v>
      </c>
      <c r="E157" s="348">
        <f t="shared" si="17"/>
        <v>0.26222222222222225</v>
      </c>
    </row>
    <row r="158" spans="1:5" ht="16.5" customHeight="1" x14ac:dyDescent="0.25">
      <c r="A158" s="350" t="s">
        <v>438</v>
      </c>
      <c r="B158" s="349">
        <v>33</v>
      </c>
      <c r="C158" s="349">
        <v>36</v>
      </c>
      <c r="D158" s="349">
        <f t="shared" si="16"/>
        <v>3</v>
      </c>
      <c r="E158" s="348">
        <f t="shared" si="17"/>
        <v>9.0909090909090912E-2</v>
      </c>
    </row>
    <row r="159" spans="1:5" ht="16.5" customHeight="1" x14ac:dyDescent="0.25">
      <c r="A159" s="350" t="s">
        <v>439</v>
      </c>
      <c r="B159" s="349">
        <v>4</v>
      </c>
      <c r="C159" s="349">
        <v>10</v>
      </c>
      <c r="D159" s="349">
        <f t="shared" si="16"/>
        <v>6</v>
      </c>
      <c r="E159" s="348">
        <f t="shared" si="17"/>
        <v>1.5</v>
      </c>
    </row>
    <row r="160" spans="1:5" ht="16.5" customHeight="1" x14ac:dyDescent="0.25">
      <c r="A160" s="350" t="s">
        <v>440</v>
      </c>
      <c r="B160" s="349">
        <v>18</v>
      </c>
      <c r="C160" s="349">
        <v>31</v>
      </c>
      <c r="D160" s="349">
        <f t="shared" si="16"/>
        <v>13</v>
      </c>
      <c r="E160" s="348">
        <f t="shared" si="17"/>
        <v>0.72222222222222221</v>
      </c>
    </row>
    <row r="161" spans="1:5" ht="16.5" customHeight="1" x14ac:dyDescent="0.25">
      <c r="A161" s="350" t="s">
        <v>441</v>
      </c>
      <c r="B161" s="349">
        <v>21</v>
      </c>
      <c r="C161" s="349">
        <v>53</v>
      </c>
      <c r="D161" s="349">
        <f t="shared" si="16"/>
        <v>32</v>
      </c>
      <c r="E161" s="348">
        <f t="shared" si="17"/>
        <v>1.5238095238095237</v>
      </c>
    </row>
    <row r="162" spans="1:5" ht="16.5" customHeight="1" x14ac:dyDescent="0.25">
      <c r="A162" s="350" t="s">
        <v>442</v>
      </c>
      <c r="B162" s="349">
        <v>15</v>
      </c>
      <c r="C162" s="349">
        <v>12</v>
      </c>
      <c r="D162" s="349">
        <f t="shared" si="16"/>
        <v>-3</v>
      </c>
      <c r="E162" s="348">
        <f t="shared" si="17"/>
        <v>-0.2</v>
      </c>
    </row>
    <row r="163" spans="1:5" ht="16.5" customHeight="1" x14ac:dyDescent="0.25">
      <c r="A163" s="350" t="s">
        <v>443</v>
      </c>
      <c r="B163" s="349">
        <v>172</v>
      </c>
      <c r="C163" s="349">
        <v>356</v>
      </c>
      <c r="D163" s="349">
        <f t="shared" si="16"/>
        <v>184</v>
      </c>
      <c r="E163" s="348">
        <f t="shared" si="17"/>
        <v>1.069767441860465</v>
      </c>
    </row>
    <row r="164" spans="1:5" ht="16.5" customHeight="1" x14ac:dyDescent="0.25">
      <c r="A164" s="350" t="s">
        <v>444</v>
      </c>
      <c r="B164" s="349">
        <v>2</v>
      </c>
      <c r="C164" s="349">
        <v>2</v>
      </c>
      <c r="D164" s="349">
        <f t="shared" si="16"/>
        <v>0</v>
      </c>
      <c r="E164" s="348">
        <f t="shared" si="17"/>
        <v>0</v>
      </c>
    </row>
    <row r="165" spans="1:5" ht="16.5" customHeight="1" x14ac:dyDescent="0.25">
      <c r="A165" s="350" t="s">
        <v>445</v>
      </c>
      <c r="B165" s="349">
        <v>103</v>
      </c>
      <c r="C165" s="349">
        <v>123</v>
      </c>
      <c r="D165" s="349">
        <f t="shared" si="16"/>
        <v>20</v>
      </c>
      <c r="E165" s="348">
        <f t="shared" si="17"/>
        <v>0.1941747572815534</v>
      </c>
    </row>
    <row r="166" spans="1:5" ht="16.5" customHeight="1" x14ac:dyDescent="0.25">
      <c r="A166" s="350" t="s">
        <v>446</v>
      </c>
      <c r="B166" s="349">
        <v>181</v>
      </c>
      <c r="C166" s="349">
        <v>318</v>
      </c>
      <c r="D166" s="349">
        <f t="shared" si="16"/>
        <v>137</v>
      </c>
      <c r="E166" s="348">
        <f t="shared" si="17"/>
        <v>0.75690607734806625</v>
      </c>
    </row>
    <row r="167" spans="1:5" ht="16.5" customHeight="1" x14ac:dyDescent="0.25">
      <c r="A167" s="350" t="s">
        <v>447</v>
      </c>
      <c r="B167" s="349">
        <v>5</v>
      </c>
      <c r="C167" s="349">
        <v>8</v>
      </c>
      <c r="D167" s="349">
        <f t="shared" si="16"/>
        <v>3</v>
      </c>
      <c r="E167" s="348">
        <f t="shared" si="17"/>
        <v>0.6</v>
      </c>
    </row>
    <row r="168" spans="1:5" ht="16.5" customHeight="1" x14ac:dyDescent="0.25">
      <c r="A168" s="350" t="s">
        <v>448</v>
      </c>
      <c r="B168" s="349">
        <v>112</v>
      </c>
      <c r="C168" s="349">
        <v>205</v>
      </c>
      <c r="D168" s="349">
        <f t="shared" si="16"/>
        <v>93</v>
      </c>
      <c r="E168" s="348">
        <f t="shared" si="17"/>
        <v>0.8303571428571429</v>
      </c>
    </row>
    <row r="169" spans="1:5" ht="16.5" customHeight="1" x14ac:dyDescent="0.25">
      <c r="A169" s="350" t="s">
        <v>449</v>
      </c>
      <c r="B169" s="349">
        <v>25</v>
      </c>
      <c r="C169" s="349">
        <v>27</v>
      </c>
      <c r="D169" s="349">
        <f t="shared" si="16"/>
        <v>2</v>
      </c>
      <c r="E169" s="348">
        <f t="shared" si="17"/>
        <v>0.08</v>
      </c>
    </row>
    <row r="170" spans="1:5" ht="16.5" customHeight="1" x14ac:dyDescent="0.25">
      <c r="A170" s="350" t="s">
        <v>450</v>
      </c>
      <c r="B170" s="349">
        <v>129</v>
      </c>
      <c r="C170" s="349">
        <v>228</v>
      </c>
      <c r="D170" s="349">
        <f t="shared" si="16"/>
        <v>99</v>
      </c>
      <c r="E170" s="348">
        <f t="shared" si="17"/>
        <v>0.76744186046511631</v>
      </c>
    </row>
    <row r="171" spans="1:5" ht="16.5" customHeight="1" x14ac:dyDescent="0.25">
      <c r="A171" s="350" t="s">
        <v>525</v>
      </c>
      <c r="B171" s="349">
        <v>13</v>
      </c>
      <c r="C171" s="349" t="s">
        <v>524</v>
      </c>
      <c r="D171" s="349"/>
      <c r="E171" s="348"/>
    </row>
    <row r="172" spans="1:5" ht="16.5" customHeight="1" x14ac:dyDescent="0.25">
      <c r="A172" s="350" t="s">
        <v>451</v>
      </c>
      <c r="B172" s="349">
        <v>59</v>
      </c>
      <c r="C172" s="349">
        <v>66</v>
      </c>
      <c r="D172" s="349">
        <f t="shared" ref="D172:D182" si="18">C172-B172</f>
        <v>7</v>
      </c>
      <c r="E172" s="348">
        <f t="shared" ref="E172:E182" si="19">(C172-B172)/B172</f>
        <v>0.11864406779661017</v>
      </c>
    </row>
    <row r="173" spans="1:5" ht="16.5" customHeight="1" x14ac:dyDescent="0.25">
      <c r="A173" s="350" t="s">
        <v>453</v>
      </c>
      <c r="B173" s="349">
        <v>27</v>
      </c>
      <c r="C173" s="349">
        <v>27</v>
      </c>
      <c r="D173" s="349">
        <f t="shared" si="18"/>
        <v>0</v>
      </c>
      <c r="E173" s="348">
        <f t="shared" si="19"/>
        <v>0</v>
      </c>
    </row>
    <row r="174" spans="1:5" ht="16.5" customHeight="1" x14ac:dyDescent="0.25">
      <c r="A174" s="350" t="s">
        <v>452</v>
      </c>
      <c r="B174" s="349">
        <v>31</v>
      </c>
      <c r="C174" s="349">
        <v>110</v>
      </c>
      <c r="D174" s="349">
        <f t="shared" si="18"/>
        <v>79</v>
      </c>
      <c r="E174" s="348">
        <f t="shared" si="19"/>
        <v>2.5483870967741935</v>
      </c>
    </row>
    <row r="175" spans="1:5" ht="16.5" customHeight="1" x14ac:dyDescent="0.25">
      <c r="A175" s="350" t="s">
        <v>462</v>
      </c>
      <c r="B175" s="349">
        <v>74</v>
      </c>
      <c r="C175" s="349">
        <v>91</v>
      </c>
      <c r="D175" s="349">
        <f t="shared" si="18"/>
        <v>17</v>
      </c>
      <c r="E175" s="348">
        <f t="shared" si="19"/>
        <v>0.22972972972972974</v>
      </c>
    </row>
    <row r="176" spans="1:5" ht="16.5" customHeight="1" x14ac:dyDescent="0.25">
      <c r="A176" s="350" t="s">
        <v>463</v>
      </c>
      <c r="B176" s="349">
        <v>132</v>
      </c>
      <c r="C176" s="349">
        <v>178</v>
      </c>
      <c r="D176" s="349">
        <f t="shared" si="18"/>
        <v>46</v>
      </c>
      <c r="E176" s="348">
        <f t="shared" si="19"/>
        <v>0.34848484848484851</v>
      </c>
    </row>
    <row r="177" spans="1:5" ht="16.5" customHeight="1" x14ac:dyDescent="0.25">
      <c r="A177" s="350" t="s">
        <v>465</v>
      </c>
      <c r="B177" s="349">
        <v>207</v>
      </c>
      <c r="C177" s="349">
        <v>231</v>
      </c>
      <c r="D177" s="349">
        <f t="shared" si="18"/>
        <v>24</v>
      </c>
      <c r="E177" s="348">
        <f t="shared" si="19"/>
        <v>0.11594202898550725</v>
      </c>
    </row>
    <row r="178" spans="1:5" ht="16.5" customHeight="1" x14ac:dyDescent="0.25">
      <c r="A178" s="350" t="s">
        <v>466</v>
      </c>
      <c r="B178" s="349">
        <v>98</v>
      </c>
      <c r="C178" s="349">
        <v>179</v>
      </c>
      <c r="D178" s="349">
        <f t="shared" si="18"/>
        <v>81</v>
      </c>
      <c r="E178" s="348">
        <f t="shared" si="19"/>
        <v>0.82653061224489799</v>
      </c>
    </row>
    <row r="179" spans="1:5" ht="16.5" customHeight="1" x14ac:dyDescent="0.25">
      <c r="A179" s="350" t="s">
        <v>467</v>
      </c>
      <c r="B179" s="349">
        <v>437</v>
      </c>
      <c r="C179" s="349">
        <v>574</v>
      </c>
      <c r="D179" s="349">
        <f t="shared" si="18"/>
        <v>137</v>
      </c>
      <c r="E179" s="348">
        <f t="shared" si="19"/>
        <v>0.31350114416475972</v>
      </c>
    </row>
    <row r="180" spans="1:5" ht="16.5" customHeight="1" x14ac:dyDescent="0.25">
      <c r="A180" s="350" t="s">
        <v>468</v>
      </c>
      <c r="B180" s="349">
        <v>139</v>
      </c>
      <c r="C180" s="349">
        <v>189</v>
      </c>
      <c r="D180" s="349">
        <f t="shared" si="18"/>
        <v>50</v>
      </c>
      <c r="E180" s="348">
        <f t="shared" si="19"/>
        <v>0.35971223021582732</v>
      </c>
    </row>
    <row r="181" spans="1:5" ht="16.5" customHeight="1" x14ac:dyDescent="0.25">
      <c r="A181" s="350" t="s">
        <v>469</v>
      </c>
      <c r="B181" s="349">
        <v>293</v>
      </c>
      <c r="C181" s="349">
        <v>355</v>
      </c>
      <c r="D181" s="349">
        <f t="shared" si="18"/>
        <v>62</v>
      </c>
      <c r="E181" s="348">
        <f t="shared" si="19"/>
        <v>0.21160409556313994</v>
      </c>
    </row>
    <row r="182" spans="1:5" ht="16.5" customHeight="1" x14ac:dyDescent="0.25">
      <c r="A182" s="350" t="s">
        <v>523</v>
      </c>
      <c r="B182" s="349">
        <v>48</v>
      </c>
      <c r="C182" s="349">
        <v>119</v>
      </c>
      <c r="D182" s="349">
        <f t="shared" si="18"/>
        <v>71</v>
      </c>
      <c r="E182" s="348">
        <f t="shared" si="19"/>
        <v>1.4791666666666667</v>
      </c>
    </row>
    <row r="183" spans="1:5" ht="16.5" customHeight="1" x14ac:dyDescent="0.25">
      <c r="A183" s="350" t="s">
        <v>470</v>
      </c>
      <c r="B183" s="349">
        <v>0</v>
      </c>
      <c r="C183" s="349" t="s">
        <v>521</v>
      </c>
      <c r="D183" s="349"/>
      <c r="E183" s="348"/>
    </row>
    <row r="184" spans="1:5" ht="16.5" customHeight="1" x14ac:dyDescent="0.25">
      <c r="A184" s="350" t="s">
        <v>471</v>
      </c>
      <c r="B184" s="349">
        <v>785</v>
      </c>
      <c r="C184" s="349">
        <v>853</v>
      </c>
      <c r="D184" s="349">
        <f>C184-B184</f>
        <v>68</v>
      </c>
      <c r="E184" s="348">
        <f>(C184-B184)/B184</f>
        <v>8.6624203821656046E-2</v>
      </c>
    </row>
    <row r="185" spans="1:5" ht="16.5" customHeight="1" x14ac:dyDescent="0.25">
      <c r="A185" s="350" t="s">
        <v>472</v>
      </c>
      <c r="B185" s="349">
        <v>0</v>
      </c>
      <c r="C185" s="349" t="s">
        <v>521</v>
      </c>
      <c r="D185" s="349"/>
      <c r="E185" s="348"/>
    </row>
    <row r="186" spans="1:5" ht="16.5" customHeight="1" x14ac:dyDescent="0.25">
      <c r="A186" s="350" t="s">
        <v>473</v>
      </c>
      <c r="B186" s="349">
        <v>156</v>
      </c>
      <c r="C186" s="349">
        <v>307</v>
      </c>
      <c r="D186" s="349">
        <f>C186-B186</f>
        <v>151</v>
      </c>
      <c r="E186" s="348">
        <f>(C186-B186)/B186</f>
        <v>0.96794871794871795</v>
      </c>
    </row>
    <row r="187" spans="1:5" ht="16.5" customHeight="1" x14ac:dyDescent="0.25">
      <c r="A187" s="350" t="s">
        <v>474</v>
      </c>
      <c r="B187" s="349">
        <v>399</v>
      </c>
      <c r="C187" s="349">
        <v>465</v>
      </c>
      <c r="D187" s="349">
        <f>C187-B187</f>
        <v>66</v>
      </c>
      <c r="E187" s="348">
        <f>(C187-B187)/B187</f>
        <v>0.16541353383458646</v>
      </c>
    </row>
    <row r="188" spans="1:5" ht="16.5" customHeight="1" x14ac:dyDescent="0.25">
      <c r="A188" s="350" t="s">
        <v>475</v>
      </c>
      <c r="B188" s="349">
        <v>491</v>
      </c>
      <c r="C188" s="349">
        <v>572</v>
      </c>
      <c r="D188" s="349">
        <f>C188-B188</f>
        <v>81</v>
      </c>
      <c r="E188" s="348">
        <f>(C188-B188)/B188</f>
        <v>0.164969450101833</v>
      </c>
    </row>
    <row r="189" spans="1:5" ht="16.5" customHeight="1" x14ac:dyDescent="0.25">
      <c r="A189" s="350" t="s">
        <v>476</v>
      </c>
      <c r="B189" s="349">
        <v>77</v>
      </c>
      <c r="C189" s="349" t="s">
        <v>521</v>
      </c>
      <c r="D189" s="349"/>
      <c r="E189" s="348"/>
    </row>
    <row r="190" spans="1:5" ht="16.5" customHeight="1" x14ac:dyDescent="0.25">
      <c r="A190" s="350" t="s">
        <v>477</v>
      </c>
      <c r="B190" s="349">
        <v>122</v>
      </c>
      <c r="C190" s="349">
        <v>192</v>
      </c>
      <c r="D190" s="349">
        <f>C190-B190</f>
        <v>70</v>
      </c>
      <c r="E190" s="348">
        <f>(C190-B190)/B190</f>
        <v>0.57377049180327866</v>
      </c>
    </row>
    <row r="191" spans="1:5" ht="16.5" customHeight="1" x14ac:dyDescent="0.25">
      <c r="A191" s="350" t="s">
        <v>478</v>
      </c>
      <c r="B191" s="349">
        <v>83</v>
      </c>
      <c r="C191" s="349">
        <v>135</v>
      </c>
      <c r="D191" s="349">
        <f>C191-B191</f>
        <v>52</v>
      </c>
      <c r="E191" s="348">
        <f>(C191-B191)/B191</f>
        <v>0.62650602409638556</v>
      </c>
    </row>
    <row r="192" spans="1:5" ht="16.5" customHeight="1" x14ac:dyDescent="0.25">
      <c r="A192" s="350" t="s">
        <v>479</v>
      </c>
      <c r="B192" s="349">
        <v>155</v>
      </c>
      <c r="C192" s="349">
        <v>229</v>
      </c>
      <c r="D192" s="349">
        <f>C192-B192</f>
        <v>74</v>
      </c>
      <c r="E192" s="348">
        <f>(C192-B192)/B192</f>
        <v>0.47741935483870968</v>
      </c>
    </row>
    <row r="193" spans="1:5" ht="16.5" customHeight="1" x14ac:dyDescent="0.25">
      <c r="A193" s="350" t="s">
        <v>480</v>
      </c>
      <c r="B193" s="349">
        <v>6</v>
      </c>
      <c r="C193" s="349" t="s">
        <v>521</v>
      </c>
      <c r="D193" s="349"/>
      <c r="E193" s="348"/>
    </row>
    <row r="194" spans="1:5" ht="16.5" customHeight="1" x14ac:dyDescent="0.25">
      <c r="A194" s="350" t="s">
        <v>481</v>
      </c>
      <c r="B194" s="349">
        <v>52</v>
      </c>
      <c r="C194" s="349">
        <v>65</v>
      </c>
      <c r="D194" s="349">
        <f>C194-B194</f>
        <v>13</v>
      </c>
      <c r="E194" s="348">
        <f>(C194-B194)/B194</f>
        <v>0.25</v>
      </c>
    </row>
    <row r="195" spans="1:5" ht="16.5" customHeight="1" x14ac:dyDescent="0.25">
      <c r="A195" s="350" t="s">
        <v>482</v>
      </c>
      <c r="B195" s="349">
        <v>189</v>
      </c>
      <c r="C195" s="349">
        <v>280</v>
      </c>
      <c r="D195" s="349">
        <f>C195-B195</f>
        <v>91</v>
      </c>
      <c r="E195" s="348">
        <f>(C195-B195)/B195</f>
        <v>0.48148148148148145</v>
      </c>
    </row>
    <row r="196" spans="1:5" ht="16.5" customHeight="1" x14ac:dyDescent="0.25">
      <c r="A196" s="350" t="s">
        <v>483</v>
      </c>
      <c r="B196" s="349">
        <v>104</v>
      </c>
      <c r="C196" s="349">
        <v>147</v>
      </c>
      <c r="D196" s="349">
        <f>C196-B196</f>
        <v>43</v>
      </c>
      <c r="E196" s="348">
        <f>(C196-B196)/B196</f>
        <v>0.41346153846153844</v>
      </c>
    </row>
    <row r="197" spans="1:5" ht="16.5" customHeight="1" x14ac:dyDescent="0.25">
      <c r="A197" s="350" t="s">
        <v>484</v>
      </c>
      <c r="B197" s="349">
        <v>0</v>
      </c>
      <c r="C197" s="349" t="s">
        <v>521</v>
      </c>
      <c r="D197" s="349"/>
      <c r="E197" s="348"/>
    </row>
    <row r="198" spans="1:5" ht="16.5" customHeight="1" x14ac:dyDescent="0.25">
      <c r="A198" s="350" t="s">
        <v>485</v>
      </c>
      <c r="B198" s="349">
        <v>126</v>
      </c>
      <c r="C198" s="349">
        <v>194</v>
      </c>
      <c r="D198" s="349">
        <f>C198-B198</f>
        <v>68</v>
      </c>
      <c r="E198" s="348">
        <f>(C198-B198)/B198</f>
        <v>0.53968253968253965</v>
      </c>
    </row>
    <row r="199" spans="1:5" ht="16.5" customHeight="1" x14ac:dyDescent="0.25">
      <c r="A199" s="350" t="s">
        <v>486</v>
      </c>
      <c r="B199" s="349">
        <v>319</v>
      </c>
      <c r="C199" s="349">
        <v>359</v>
      </c>
      <c r="D199" s="349">
        <f>C199-B199</f>
        <v>40</v>
      </c>
      <c r="E199" s="348">
        <f>(C199-B199)/B199</f>
        <v>0.12539184952978055</v>
      </c>
    </row>
    <row r="200" spans="1:5" ht="16.5" customHeight="1" x14ac:dyDescent="0.25">
      <c r="A200" s="350" t="s">
        <v>487</v>
      </c>
      <c r="B200" s="349">
        <v>38</v>
      </c>
      <c r="C200" s="349">
        <v>53</v>
      </c>
      <c r="D200" s="349">
        <f>C200-B200</f>
        <v>15</v>
      </c>
      <c r="E200" s="348">
        <f>(C200-B200)/B200</f>
        <v>0.39473684210526316</v>
      </c>
    </row>
    <row r="201" spans="1:5" ht="16.5" customHeight="1" x14ac:dyDescent="0.25">
      <c r="A201" s="350" t="s">
        <v>488</v>
      </c>
      <c r="B201" s="349">
        <v>430</v>
      </c>
      <c r="C201" s="349">
        <v>611</v>
      </c>
      <c r="D201" s="349">
        <f>C201-B201</f>
        <v>181</v>
      </c>
      <c r="E201" s="348">
        <f>(C201-B201)/B201</f>
        <v>0.42093023255813955</v>
      </c>
    </row>
    <row r="202" spans="1:5" ht="16.5" customHeight="1" x14ac:dyDescent="0.25">
      <c r="A202" s="350" t="s">
        <v>489</v>
      </c>
      <c r="B202" s="349">
        <v>12</v>
      </c>
      <c r="C202" s="349" t="s">
        <v>521</v>
      </c>
      <c r="D202" s="349"/>
      <c r="E202" s="348"/>
    </row>
    <row r="203" spans="1:5" ht="16.5" customHeight="1" x14ac:dyDescent="0.25">
      <c r="A203" s="350" t="s">
        <v>490</v>
      </c>
      <c r="B203" s="349">
        <v>318</v>
      </c>
      <c r="C203" s="349">
        <v>528</v>
      </c>
      <c r="D203" s="349">
        <f t="shared" ref="D203:D218" si="20">C203-B203</f>
        <v>210</v>
      </c>
      <c r="E203" s="348">
        <f t="shared" ref="E203:E218" si="21">(C203-B203)/B203</f>
        <v>0.660377358490566</v>
      </c>
    </row>
    <row r="204" spans="1:5" ht="16.5" customHeight="1" x14ac:dyDescent="0.25">
      <c r="A204" s="350" t="s">
        <v>455</v>
      </c>
      <c r="B204" s="349">
        <v>213</v>
      </c>
      <c r="C204" s="349">
        <v>313</v>
      </c>
      <c r="D204" s="349">
        <f t="shared" si="20"/>
        <v>100</v>
      </c>
      <c r="E204" s="348">
        <f t="shared" si="21"/>
        <v>0.46948356807511737</v>
      </c>
    </row>
    <row r="205" spans="1:5" ht="16.5" customHeight="1" x14ac:dyDescent="0.25">
      <c r="A205" s="350" t="s">
        <v>454</v>
      </c>
      <c r="B205" s="349">
        <v>131</v>
      </c>
      <c r="C205" s="349">
        <v>303</v>
      </c>
      <c r="D205" s="349">
        <f t="shared" si="20"/>
        <v>172</v>
      </c>
      <c r="E205" s="348">
        <f t="shared" si="21"/>
        <v>1.3129770992366412</v>
      </c>
    </row>
    <row r="206" spans="1:5" ht="16.5" customHeight="1" x14ac:dyDescent="0.25">
      <c r="A206" s="350" t="s">
        <v>456</v>
      </c>
      <c r="B206" s="349">
        <v>348</v>
      </c>
      <c r="C206" s="349">
        <v>774</v>
      </c>
      <c r="D206" s="349">
        <f t="shared" si="20"/>
        <v>426</v>
      </c>
      <c r="E206" s="348">
        <f t="shared" si="21"/>
        <v>1.2241379310344827</v>
      </c>
    </row>
    <row r="207" spans="1:5" ht="16.5" customHeight="1" x14ac:dyDescent="0.25">
      <c r="A207" s="350" t="s">
        <v>457</v>
      </c>
      <c r="B207" s="349">
        <v>39</v>
      </c>
      <c r="C207" s="349">
        <v>48</v>
      </c>
      <c r="D207" s="349">
        <f t="shared" si="20"/>
        <v>9</v>
      </c>
      <c r="E207" s="348">
        <f t="shared" si="21"/>
        <v>0.23076923076923078</v>
      </c>
    </row>
    <row r="208" spans="1:5" ht="16.5" customHeight="1" x14ac:dyDescent="0.25">
      <c r="A208" s="350" t="s">
        <v>458</v>
      </c>
      <c r="B208" s="349">
        <v>198</v>
      </c>
      <c r="C208" s="349">
        <v>326</v>
      </c>
      <c r="D208" s="349">
        <f t="shared" si="20"/>
        <v>128</v>
      </c>
      <c r="E208" s="348">
        <f t="shared" si="21"/>
        <v>0.64646464646464652</v>
      </c>
    </row>
    <row r="209" spans="1:5" ht="16.5" customHeight="1" x14ac:dyDescent="0.25">
      <c r="A209" s="350" t="s">
        <v>459</v>
      </c>
      <c r="B209" s="349">
        <v>69</v>
      </c>
      <c r="C209" s="349">
        <v>103</v>
      </c>
      <c r="D209" s="349">
        <f t="shared" si="20"/>
        <v>34</v>
      </c>
      <c r="E209" s="348">
        <f t="shared" si="21"/>
        <v>0.49275362318840582</v>
      </c>
    </row>
    <row r="210" spans="1:5" ht="16.5" customHeight="1" x14ac:dyDescent="0.25">
      <c r="A210" s="350" t="s">
        <v>460</v>
      </c>
      <c r="B210" s="349">
        <v>175</v>
      </c>
      <c r="C210" s="349">
        <v>278</v>
      </c>
      <c r="D210" s="349">
        <f t="shared" si="20"/>
        <v>103</v>
      </c>
      <c r="E210" s="348">
        <f t="shared" si="21"/>
        <v>0.58857142857142852</v>
      </c>
    </row>
    <row r="211" spans="1:5" ht="16.5" customHeight="1" x14ac:dyDescent="0.25">
      <c r="A211" s="350" t="s">
        <v>461</v>
      </c>
      <c r="B211" s="349">
        <v>137</v>
      </c>
      <c r="C211" s="349">
        <v>212</v>
      </c>
      <c r="D211" s="349">
        <f t="shared" si="20"/>
        <v>75</v>
      </c>
      <c r="E211" s="348">
        <f t="shared" si="21"/>
        <v>0.54744525547445255</v>
      </c>
    </row>
    <row r="212" spans="1:5" ht="16.5" customHeight="1" x14ac:dyDescent="0.25">
      <c r="A212" s="350" t="s">
        <v>464</v>
      </c>
      <c r="B212" s="349">
        <v>245</v>
      </c>
      <c r="C212" s="349">
        <v>339</v>
      </c>
      <c r="D212" s="349">
        <f t="shared" si="20"/>
        <v>94</v>
      </c>
      <c r="E212" s="348">
        <f t="shared" si="21"/>
        <v>0.3836734693877551</v>
      </c>
    </row>
    <row r="213" spans="1:5" ht="16.5" customHeight="1" x14ac:dyDescent="0.25">
      <c r="A213" s="350" t="s">
        <v>522</v>
      </c>
      <c r="B213" s="349">
        <v>51</v>
      </c>
      <c r="C213" s="349">
        <v>171</v>
      </c>
      <c r="D213" s="349">
        <f t="shared" si="20"/>
        <v>120</v>
      </c>
      <c r="E213" s="348">
        <f t="shared" si="21"/>
        <v>2.3529411764705883</v>
      </c>
    </row>
    <row r="214" spans="1:5" ht="16.5" customHeight="1" x14ac:dyDescent="0.25">
      <c r="A214" s="350" t="s">
        <v>492</v>
      </c>
      <c r="B214" s="349">
        <v>9</v>
      </c>
      <c r="C214" s="349">
        <v>14</v>
      </c>
      <c r="D214" s="349">
        <f t="shared" si="20"/>
        <v>5</v>
      </c>
      <c r="E214" s="348">
        <f t="shared" si="21"/>
        <v>0.55555555555555558</v>
      </c>
    </row>
    <row r="215" spans="1:5" ht="16.5" customHeight="1" x14ac:dyDescent="0.25">
      <c r="A215" s="350" t="s">
        <v>491</v>
      </c>
      <c r="B215" s="349">
        <v>6</v>
      </c>
      <c r="C215" s="349">
        <v>8</v>
      </c>
      <c r="D215" s="349">
        <f t="shared" si="20"/>
        <v>2</v>
      </c>
      <c r="E215" s="348">
        <f t="shared" si="21"/>
        <v>0.33333333333333331</v>
      </c>
    </row>
    <row r="216" spans="1:5" ht="16.5" customHeight="1" x14ac:dyDescent="0.25">
      <c r="A216" s="350" t="s">
        <v>493</v>
      </c>
      <c r="B216" s="349">
        <v>193</v>
      </c>
      <c r="C216" s="349">
        <v>329</v>
      </c>
      <c r="D216" s="349">
        <f t="shared" si="20"/>
        <v>136</v>
      </c>
      <c r="E216" s="348">
        <f t="shared" si="21"/>
        <v>0.70466321243523311</v>
      </c>
    </row>
    <row r="217" spans="1:5" ht="16.5" customHeight="1" x14ac:dyDescent="0.25">
      <c r="A217" s="350" t="s">
        <v>494</v>
      </c>
      <c r="B217" s="349">
        <v>73</v>
      </c>
      <c r="C217" s="349">
        <v>156</v>
      </c>
      <c r="D217" s="349">
        <f t="shared" si="20"/>
        <v>83</v>
      </c>
      <c r="E217" s="348">
        <f t="shared" si="21"/>
        <v>1.1369863013698631</v>
      </c>
    </row>
    <row r="218" spans="1:5" ht="16.5" customHeight="1" x14ac:dyDescent="0.25">
      <c r="A218" s="350" t="s">
        <v>495</v>
      </c>
      <c r="B218" s="349">
        <v>52</v>
      </c>
      <c r="C218" s="349">
        <v>103</v>
      </c>
      <c r="D218" s="349">
        <f t="shared" si="20"/>
        <v>51</v>
      </c>
      <c r="E218" s="348">
        <f t="shared" si="21"/>
        <v>0.98076923076923073</v>
      </c>
    </row>
    <row r="219" spans="1:5" ht="16.5" customHeight="1" x14ac:dyDescent="0.25">
      <c r="A219" s="350" t="s">
        <v>496</v>
      </c>
      <c r="B219" s="349">
        <v>0</v>
      </c>
      <c r="C219" s="349" t="s">
        <v>521</v>
      </c>
      <c r="D219" s="349"/>
      <c r="E219" s="348"/>
    </row>
    <row r="220" spans="1:5" ht="16.5" customHeight="1" x14ac:dyDescent="0.25">
      <c r="A220" s="350" t="s">
        <v>499</v>
      </c>
      <c r="B220" s="349">
        <v>3</v>
      </c>
      <c r="C220" s="349" t="s">
        <v>521</v>
      </c>
      <c r="D220" s="349"/>
      <c r="E220" s="348"/>
    </row>
    <row r="221" spans="1:5" ht="16.5" customHeight="1" x14ac:dyDescent="0.25">
      <c r="A221" s="350" t="s">
        <v>497</v>
      </c>
      <c r="B221" s="349">
        <v>86</v>
      </c>
      <c r="C221" s="349">
        <v>171</v>
      </c>
      <c r="D221" s="349">
        <f>C221-B221</f>
        <v>85</v>
      </c>
      <c r="E221" s="348">
        <f>(C221-B221)/B221</f>
        <v>0.98837209302325579</v>
      </c>
    </row>
    <row r="222" spans="1:5" ht="16.5" customHeight="1" x14ac:dyDescent="0.25">
      <c r="A222" s="350" t="s">
        <v>498</v>
      </c>
      <c r="B222" s="349">
        <v>86</v>
      </c>
      <c r="C222" s="349">
        <v>136</v>
      </c>
      <c r="D222" s="349">
        <f>C222-B222</f>
        <v>50</v>
      </c>
      <c r="E222" s="348">
        <f>(C222-B222)/B222</f>
        <v>0.58139534883720934</v>
      </c>
    </row>
    <row r="223" spans="1:5" ht="16.5" customHeight="1" x14ac:dyDescent="0.25">
      <c r="A223" s="350" t="s">
        <v>500</v>
      </c>
      <c r="B223" s="349">
        <v>34</v>
      </c>
      <c r="C223" s="349">
        <v>64</v>
      </c>
      <c r="D223" s="349">
        <f>C223-B223</f>
        <v>30</v>
      </c>
      <c r="E223" s="348">
        <f>(C223-B223)/B223</f>
        <v>0.88235294117647056</v>
      </c>
    </row>
    <row r="224" spans="1:5" s="351" customFormat="1" ht="16.5" customHeight="1" x14ac:dyDescent="0.25">
      <c r="A224" s="425" t="s">
        <v>551</v>
      </c>
      <c r="B224" s="426">
        <f>SUM(B2:B223)</f>
        <v>21848</v>
      </c>
      <c r="C224" s="426">
        <f>SUM(C2:C223)</f>
        <v>32675</v>
      </c>
      <c r="D224" s="426">
        <f>C224-B224</f>
        <v>10827</v>
      </c>
      <c r="E224" s="427">
        <f>(C224-B224)/B224</f>
        <v>0.49556023434639324</v>
      </c>
    </row>
    <row r="226" spans="1:3" ht="16.5" customHeight="1" x14ac:dyDescent="0.2">
      <c r="A226" s="347" t="s">
        <v>558</v>
      </c>
      <c r="B226" s="335"/>
      <c r="C226" s="335">
        <v>2934</v>
      </c>
    </row>
    <row r="227" spans="1:3" ht="16.5" customHeight="1" x14ac:dyDescent="0.2">
      <c r="A227" s="346" t="s">
        <v>501</v>
      </c>
      <c r="B227" s="333"/>
      <c r="C227" s="333">
        <f>C226/11953</f>
        <v>0.24546139044591317</v>
      </c>
    </row>
    <row r="228" spans="1:3" ht="16.5" customHeight="1" x14ac:dyDescent="0.2">
      <c r="A228" s="11"/>
      <c r="B228" s="335"/>
      <c r="C228" s="335"/>
    </row>
    <row r="229" spans="1:3" ht="16.5" customHeight="1" x14ac:dyDescent="0.2">
      <c r="A229" s="345" t="s">
        <v>559</v>
      </c>
      <c r="B229" s="335"/>
      <c r="C229" s="335"/>
    </row>
    <row r="230" spans="1:3" ht="16.5" customHeight="1" x14ac:dyDescent="0.2">
      <c r="A230" s="344" t="s">
        <v>502</v>
      </c>
      <c r="B230" s="335"/>
      <c r="C230" s="335">
        <v>368</v>
      </c>
    </row>
    <row r="231" spans="1:3" ht="16.5" customHeight="1" x14ac:dyDescent="0.2">
      <c r="A231" s="344" t="s">
        <v>503</v>
      </c>
      <c r="B231" s="335"/>
      <c r="C231" s="335">
        <v>238</v>
      </c>
    </row>
    <row r="232" spans="1:3" ht="16.5" customHeight="1" x14ac:dyDescent="0.2">
      <c r="A232" s="344" t="s">
        <v>504</v>
      </c>
      <c r="B232" s="333"/>
      <c r="C232" s="333">
        <f>C230/(C230+C231)</f>
        <v>0.60726072607260728</v>
      </c>
    </row>
    <row r="233" spans="1:3" ht="16.5" customHeight="1" x14ac:dyDescent="0.2">
      <c r="A233" s="11"/>
      <c r="B233" s="335"/>
      <c r="C233" s="335"/>
    </row>
    <row r="234" spans="1:3" ht="16.5" customHeight="1" x14ac:dyDescent="0.2">
      <c r="A234" s="343" t="s">
        <v>505</v>
      </c>
      <c r="B234" s="335"/>
      <c r="C234" s="335"/>
    </row>
    <row r="235" spans="1:3" ht="16.5" customHeight="1" x14ac:dyDescent="0.2">
      <c r="A235" s="342" t="s">
        <v>502</v>
      </c>
      <c r="B235" s="335"/>
      <c r="C235" s="335">
        <v>70</v>
      </c>
    </row>
    <row r="236" spans="1:3" ht="16.5" customHeight="1" x14ac:dyDescent="0.2">
      <c r="A236" s="342" t="s">
        <v>503</v>
      </c>
      <c r="B236" s="335"/>
      <c r="C236" s="335">
        <v>56</v>
      </c>
    </row>
    <row r="237" spans="1:3" ht="16.5" customHeight="1" x14ac:dyDescent="0.2">
      <c r="A237" s="343" t="s">
        <v>506</v>
      </c>
      <c r="B237" s="335"/>
      <c r="C237" s="335"/>
    </row>
    <row r="238" spans="1:3" ht="16.5" customHeight="1" x14ac:dyDescent="0.2">
      <c r="A238" s="342" t="s">
        <v>502</v>
      </c>
      <c r="B238" s="335"/>
      <c r="C238" s="335">
        <v>133</v>
      </c>
    </row>
    <row r="239" spans="1:3" ht="16.5" customHeight="1" x14ac:dyDescent="0.2">
      <c r="A239" s="342" t="s">
        <v>503</v>
      </c>
      <c r="B239" s="335"/>
      <c r="C239" s="335">
        <v>149</v>
      </c>
    </row>
    <row r="240" spans="1:3" ht="16.5" customHeight="1" x14ac:dyDescent="0.2">
      <c r="A240" s="11"/>
      <c r="B240" s="335"/>
      <c r="C240" s="335"/>
    </row>
    <row r="241" spans="1:4" ht="16.5" customHeight="1" x14ac:dyDescent="0.2">
      <c r="A241" s="447" t="s">
        <v>507</v>
      </c>
      <c r="B241" s="341"/>
      <c r="C241" s="341">
        <f>1268+1758</f>
        <v>3026</v>
      </c>
    </row>
    <row r="242" spans="1:4" ht="16.5" customHeight="1" x14ac:dyDescent="0.2">
      <c r="A242" s="447" t="s">
        <v>560</v>
      </c>
      <c r="B242" s="451" t="s">
        <v>508</v>
      </c>
      <c r="C242" s="451"/>
      <c r="D242" s="451"/>
    </row>
    <row r="243" spans="1:4" ht="16.5" customHeight="1" x14ac:dyDescent="0.2">
      <c r="A243" s="340"/>
      <c r="B243" s="339"/>
      <c r="C243" s="339"/>
    </row>
    <row r="244" spans="1:4" ht="16.5" customHeight="1" x14ac:dyDescent="0.2">
      <c r="A244" s="11"/>
      <c r="B244" s="335"/>
      <c r="C244" s="335"/>
    </row>
    <row r="245" spans="1:4" ht="16.5" customHeight="1" x14ac:dyDescent="0.2">
      <c r="A245" s="338" t="s">
        <v>509</v>
      </c>
      <c r="B245" s="335"/>
      <c r="C245" s="335">
        <v>2952</v>
      </c>
    </row>
    <row r="246" spans="1:4" ht="16.5" customHeight="1" x14ac:dyDescent="0.2">
      <c r="A246" s="337"/>
      <c r="B246" s="335"/>
      <c r="C246" s="335"/>
    </row>
    <row r="247" spans="1:4" ht="16.5" customHeight="1" x14ac:dyDescent="0.2">
      <c r="A247" s="11"/>
      <c r="B247" s="335"/>
      <c r="C247" s="335"/>
    </row>
    <row r="248" spans="1:4" ht="16.5" customHeight="1" x14ac:dyDescent="0.2">
      <c r="A248" s="123" t="s">
        <v>510</v>
      </c>
      <c r="B248" s="335"/>
      <c r="C248" s="428">
        <f>SUM(C224+C226+C230+C241+C245)</f>
        <v>41955</v>
      </c>
    </row>
    <row r="249" spans="1:4" ht="16.5" customHeight="1" x14ac:dyDescent="0.2">
      <c r="A249" s="123"/>
      <c r="B249" s="335"/>
      <c r="C249" s="335"/>
    </row>
    <row r="250" spans="1:4" ht="16.5" customHeight="1" x14ac:dyDescent="0.2">
      <c r="A250" s="123"/>
      <c r="B250" s="335"/>
      <c r="C250" s="335"/>
    </row>
    <row r="251" spans="1:4" ht="16.5" customHeight="1" x14ac:dyDescent="0.2">
      <c r="A251" s="123" t="s">
        <v>519</v>
      </c>
      <c r="B251" s="11">
        <v>116427</v>
      </c>
      <c r="C251" s="335">
        <v>124161</v>
      </c>
    </row>
    <row r="252" spans="1:4" ht="16.5" customHeight="1" x14ac:dyDescent="0.2">
      <c r="A252" s="11" t="s">
        <v>511</v>
      </c>
      <c r="B252" s="335"/>
      <c r="C252" s="335">
        <f>C251-B251</f>
        <v>7734</v>
      </c>
    </row>
    <row r="253" spans="1:4" ht="16.5" customHeight="1" x14ac:dyDescent="0.2">
      <c r="A253" s="11" t="s">
        <v>512</v>
      </c>
      <c r="B253" s="333"/>
      <c r="C253" s="336">
        <f>C251/314784</f>
        <v>0.39443237267459591</v>
      </c>
    </row>
    <row r="254" spans="1:4" ht="16.5" customHeight="1" x14ac:dyDescent="0.2">
      <c r="A254" s="11" t="s">
        <v>520</v>
      </c>
      <c r="B254" s="335">
        <v>4244</v>
      </c>
      <c r="C254" s="335">
        <v>4357</v>
      </c>
    </row>
    <row r="255" spans="1:4" ht="16.5" customHeight="1" x14ac:dyDescent="0.2">
      <c r="A255" s="11" t="s">
        <v>511</v>
      </c>
      <c r="B255" s="335"/>
      <c r="C255" s="335">
        <f>C254-B254</f>
        <v>113</v>
      </c>
    </row>
    <row r="256" spans="1:4" ht="16.5" customHeight="1" x14ac:dyDescent="0.2">
      <c r="A256" s="123"/>
      <c r="B256" s="335"/>
      <c r="C256" s="335"/>
    </row>
    <row r="257" spans="1:3" ht="16.5" customHeight="1" x14ac:dyDescent="0.2">
      <c r="A257" s="123" t="s">
        <v>513</v>
      </c>
      <c r="B257" s="335"/>
      <c r="C257" s="335">
        <v>246</v>
      </c>
    </row>
    <row r="258" spans="1:3" ht="16.5" customHeight="1" x14ac:dyDescent="0.2">
      <c r="A258" s="123"/>
      <c r="B258" s="335"/>
      <c r="C258" s="335"/>
    </row>
    <row r="259" spans="1:3" ht="16.5" customHeight="1" x14ac:dyDescent="0.2">
      <c r="A259" s="11"/>
      <c r="B259" s="335"/>
      <c r="C259" s="335"/>
    </row>
    <row r="260" spans="1:3" ht="16.5" customHeight="1" x14ac:dyDescent="0.2">
      <c r="B260" s="335"/>
      <c r="C260" s="335"/>
    </row>
    <row r="261" spans="1:3" ht="16.5" customHeight="1" x14ac:dyDescent="0.2">
      <c r="A261" s="123" t="s">
        <v>514</v>
      </c>
      <c r="B261" s="335"/>
      <c r="C261" s="335"/>
    </row>
    <row r="262" spans="1:3" ht="16.5" customHeight="1" x14ac:dyDescent="0.2">
      <c r="A262" s="11" t="s">
        <v>515</v>
      </c>
      <c r="B262" s="335"/>
      <c r="C262" s="335">
        <v>117073</v>
      </c>
    </row>
    <row r="263" spans="1:3" ht="16.5" customHeight="1" x14ac:dyDescent="0.2">
      <c r="A263" s="11" t="s">
        <v>516</v>
      </c>
      <c r="B263" s="335"/>
      <c r="C263" s="335">
        <v>37645</v>
      </c>
    </row>
    <row r="264" spans="1:3" ht="16.5" customHeight="1" x14ac:dyDescent="0.2">
      <c r="A264" s="11"/>
      <c r="B264" s="335"/>
      <c r="C264" s="335"/>
    </row>
    <row r="265" spans="1:3" ht="16.5" customHeight="1" x14ac:dyDescent="0.2">
      <c r="A265" s="123" t="s">
        <v>517</v>
      </c>
      <c r="B265" s="335"/>
      <c r="C265" s="335"/>
    </row>
    <row r="266" spans="1:3" ht="16.5" customHeight="1" x14ac:dyDescent="0.2">
      <c r="A266" s="11" t="s">
        <v>515</v>
      </c>
      <c r="B266" s="334"/>
      <c r="C266" s="333">
        <v>0.96</v>
      </c>
    </row>
    <row r="267" spans="1:3" ht="16.5" customHeight="1" x14ac:dyDescent="0.2">
      <c r="A267" s="11" t="s">
        <v>516</v>
      </c>
      <c r="B267" s="334"/>
      <c r="C267" s="333">
        <v>1</v>
      </c>
    </row>
    <row r="268" spans="1:3" ht="16.5" customHeight="1" x14ac:dyDescent="0.2">
      <c r="A268" s="314"/>
      <c r="B268" s="332"/>
      <c r="C268" s="332"/>
    </row>
    <row r="269" spans="1:3" ht="16.5" customHeight="1" x14ac:dyDescent="0.2">
      <c r="A269" s="314"/>
      <c r="B269" s="332"/>
      <c r="C269" s="332"/>
    </row>
  </sheetData>
  <autoFilter ref="A1:E223">
    <sortState ref="A2:E224">
      <sortCondition ref="A1:A224"/>
    </sortState>
  </autoFilter>
  <mergeCells count="2">
    <mergeCell ref="F5:I5"/>
    <mergeCell ref="B242:D242"/>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52"/>
  <sheetViews>
    <sheetView zoomScaleNormal="100" workbookViewId="0">
      <pane ySplit="2" topLeftCell="A6" activePane="bottomLeft" state="frozen"/>
      <selection pane="bottomLeft" activeCell="K30" sqref="K30"/>
    </sheetView>
  </sheetViews>
  <sheetFormatPr defaultColWidth="46.25" defaultRowHeight="15.75" x14ac:dyDescent="0.25"/>
  <cols>
    <col min="1" max="1" width="48.25" style="373" customWidth="1"/>
    <col min="2" max="8" width="15.5" style="356" customWidth="1"/>
    <col min="9" max="9" width="15.5" style="366" customWidth="1"/>
    <col min="10" max="10" width="15.5" style="356" customWidth="1"/>
    <col min="11" max="19" width="46.25" style="367"/>
    <col min="20" max="16384" width="46.25" style="356"/>
  </cols>
  <sheetData>
    <row r="1" spans="1:19" ht="18.75" x14ac:dyDescent="0.25">
      <c r="A1" s="431" t="s">
        <v>555</v>
      </c>
      <c r="B1" s="393"/>
      <c r="C1" s="452">
        <v>2015</v>
      </c>
      <c r="D1" s="453"/>
      <c r="E1" s="454"/>
      <c r="F1" s="455">
        <v>2016</v>
      </c>
      <c r="G1" s="456"/>
      <c r="H1" s="456"/>
      <c r="I1" s="456"/>
      <c r="J1" s="457"/>
    </row>
    <row r="2" spans="1:19" ht="25.5" x14ac:dyDescent="0.25">
      <c r="A2" s="418" t="s">
        <v>548</v>
      </c>
      <c r="B2" s="394" t="s">
        <v>547</v>
      </c>
      <c r="C2" s="378" t="s">
        <v>556</v>
      </c>
      <c r="D2" s="357" t="s">
        <v>543</v>
      </c>
      <c r="E2" s="388" t="s">
        <v>546</v>
      </c>
      <c r="F2" s="378" t="s">
        <v>545</v>
      </c>
      <c r="G2" s="355" t="s">
        <v>544</v>
      </c>
      <c r="H2" s="357" t="s">
        <v>543</v>
      </c>
      <c r="I2" s="358" t="s">
        <v>542</v>
      </c>
      <c r="J2" s="379" t="s">
        <v>541</v>
      </c>
    </row>
    <row r="3" spans="1:19" s="369" customFormat="1" ht="15.75" customHeight="1" x14ac:dyDescent="0.25">
      <c r="A3" s="416" t="s">
        <v>540</v>
      </c>
      <c r="B3" s="417">
        <v>211</v>
      </c>
      <c r="C3" s="380">
        <v>28</v>
      </c>
      <c r="D3" s="374">
        <v>161</v>
      </c>
      <c r="E3" s="389">
        <f>C3/D3</f>
        <v>0.17391304347826086</v>
      </c>
      <c r="F3" s="380">
        <v>58</v>
      </c>
      <c r="G3" s="374">
        <f>17+81</f>
        <v>98</v>
      </c>
      <c r="H3" s="374">
        <f>F3+J3+G3</f>
        <v>167</v>
      </c>
      <c r="I3" s="375">
        <f t="shared" ref="I3:I34" si="0">F3/(F3+G3)</f>
        <v>0.37179487179487181</v>
      </c>
      <c r="J3" s="381">
        <v>11</v>
      </c>
      <c r="K3" s="368"/>
      <c r="L3" s="368"/>
      <c r="M3" s="368"/>
      <c r="N3" s="368"/>
      <c r="O3" s="368"/>
      <c r="P3" s="368"/>
      <c r="Q3" s="368"/>
      <c r="R3" s="368"/>
      <c r="S3" s="368"/>
    </row>
    <row r="4" spans="1:19" s="370" customFormat="1" ht="15.75" customHeight="1" x14ac:dyDescent="0.25">
      <c r="A4" s="397" t="s">
        <v>30</v>
      </c>
      <c r="B4" s="398">
        <v>204</v>
      </c>
      <c r="C4" s="382"/>
      <c r="D4" s="361"/>
      <c r="E4" s="390"/>
      <c r="F4" s="382">
        <v>116</v>
      </c>
      <c r="G4" s="361">
        <f t="shared" ref="G4:G50" si="1">H4-F4-J4</f>
        <v>103</v>
      </c>
      <c r="H4" s="361">
        <v>241</v>
      </c>
      <c r="I4" s="362">
        <f t="shared" si="0"/>
        <v>0.52968036529680362</v>
      </c>
      <c r="J4" s="383">
        <v>22</v>
      </c>
      <c r="K4" s="421" t="s">
        <v>549</v>
      </c>
      <c r="L4" s="368"/>
      <c r="M4" s="368"/>
      <c r="N4" s="368"/>
      <c r="O4" s="368"/>
      <c r="P4" s="368"/>
      <c r="Q4" s="368"/>
      <c r="R4" s="368"/>
      <c r="S4" s="368"/>
    </row>
    <row r="5" spans="1:19" ht="15.75" customHeight="1" x14ac:dyDescent="0.25">
      <c r="A5" s="395" t="s">
        <v>31</v>
      </c>
      <c r="B5" s="396">
        <v>217</v>
      </c>
      <c r="C5" s="380">
        <v>97</v>
      </c>
      <c r="D5" s="374">
        <v>398</v>
      </c>
      <c r="E5" s="389">
        <f t="shared" ref="E5:E20" si="2">C5/D5</f>
        <v>0.24371859296482412</v>
      </c>
      <c r="F5" s="380">
        <v>160</v>
      </c>
      <c r="G5" s="374">
        <f t="shared" si="1"/>
        <v>167</v>
      </c>
      <c r="H5" s="374">
        <v>374</v>
      </c>
      <c r="I5" s="375">
        <f t="shared" si="0"/>
        <v>0.4892966360856269</v>
      </c>
      <c r="J5" s="381">
        <v>47</v>
      </c>
      <c r="K5" s="420"/>
    </row>
    <row r="6" spans="1:19" s="371" customFormat="1" ht="15.75" customHeight="1" x14ac:dyDescent="0.25">
      <c r="A6" s="399" t="s">
        <v>32</v>
      </c>
      <c r="B6" s="400">
        <v>68</v>
      </c>
      <c r="C6" s="384">
        <v>36</v>
      </c>
      <c r="D6" s="376">
        <v>134</v>
      </c>
      <c r="E6" s="391">
        <f t="shared" si="2"/>
        <v>0.26865671641791045</v>
      </c>
      <c r="F6" s="384">
        <v>61</v>
      </c>
      <c r="G6" s="376">
        <f t="shared" si="1"/>
        <v>48</v>
      </c>
      <c r="H6" s="376">
        <v>109</v>
      </c>
      <c r="I6" s="377">
        <f t="shared" si="0"/>
        <v>0.55963302752293576</v>
      </c>
      <c r="J6" s="385">
        <v>0</v>
      </c>
      <c r="K6" s="367"/>
      <c r="L6" s="367"/>
      <c r="M6" s="367"/>
      <c r="N6" s="367"/>
      <c r="O6" s="367"/>
      <c r="P6" s="367"/>
      <c r="Q6" s="367"/>
      <c r="R6" s="367"/>
      <c r="S6" s="367"/>
    </row>
    <row r="7" spans="1:19" ht="15.75" customHeight="1" x14ac:dyDescent="0.25">
      <c r="A7" s="401" t="s">
        <v>33</v>
      </c>
      <c r="B7" s="402">
        <v>65</v>
      </c>
      <c r="C7" s="386">
        <v>40</v>
      </c>
      <c r="D7" s="359">
        <v>249</v>
      </c>
      <c r="E7" s="392">
        <f t="shared" si="2"/>
        <v>0.1606425702811245</v>
      </c>
      <c r="F7" s="386">
        <v>44</v>
      </c>
      <c r="G7" s="359">
        <f t="shared" si="1"/>
        <v>102</v>
      </c>
      <c r="H7" s="359">
        <v>176</v>
      </c>
      <c r="I7" s="360">
        <f t="shared" si="0"/>
        <v>0.30136986301369861</v>
      </c>
      <c r="J7" s="387">
        <v>30</v>
      </c>
    </row>
    <row r="8" spans="1:19" ht="15.75" customHeight="1" x14ac:dyDescent="0.25">
      <c r="A8" s="395" t="s">
        <v>36</v>
      </c>
      <c r="B8" s="396">
        <v>45</v>
      </c>
      <c r="C8" s="380">
        <v>20</v>
      </c>
      <c r="D8" s="374">
        <v>142</v>
      </c>
      <c r="E8" s="389">
        <f t="shared" si="2"/>
        <v>0.14084507042253522</v>
      </c>
      <c r="F8" s="380">
        <v>17</v>
      </c>
      <c r="G8" s="374">
        <f t="shared" si="1"/>
        <v>46</v>
      </c>
      <c r="H8" s="374">
        <v>69</v>
      </c>
      <c r="I8" s="375">
        <f t="shared" si="0"/>
        <v>0.26984126984126983</v>
      </c>
      <c r="J8" s="381">
        <v>6</v>
      </c>
    </row>
    <row r="9" spans="1:19" ht="15.75" customHeight="1" x14ac:dyDescent="0.25">
      <c r="A9" s="401" t="s">
        <v>539</v>
      </c>
      <c r="B9" s="402">
        <v>77</v>
      </c>
      <c r="C9" s="386">
        <v>36</v>
      </c>
      <c r="D9" s="359">
        <v>284</v>
      </c>
      <c r="E9" s="392">
        <f t="shared" si="2"/>
        <v>0.12676056338028169</v>
      </c>
      <c r="F9" s="386">
        <v>70</v>
      </c>
      <c r="G9" s="359">
        <f t="shared" si="1"/>
        <v>168</v>
      </c>
      <c r="H9" s="359">
        <v>282</v>
      </c>
      <c r="I9" s="360">
        <f t="shared" si="0"/>
        <v>0.29411764705882354</v>
      </c>
      <c r="J9" s="387">
        <v>44</v>
      </c>
    </row>
    <row r="10" spans="1:19" ht="15.75" customHeight="1" x14ac:dyDescent="0.25">
      <c r="A10" s="395" t="s">
        <v>538</v>
      </c>
      <c r="B10" s="396">
        <v>78</v>
      </c>
      <c r="C10" s="380">
        <v>5</v>
      </c>
      <c r="D10" s="374">
        <v>147</v>
      </c>
      <c r="E10" s="389">
        <f t="shared" si="2"/>
        <v>3.4013605442176874E-2</v>
      </c>
      <c r="F10" s="380">
        <v>72</v>
      </c>
      <c r="G10" s="374">
        <f t="shared" si="1"/>
        <v>98</v>
      </c>
      <c r="H10" s="374">
        <v>188</v>
      </c>
      <c r="I10" s="375">
        <f t="shared" si="0"/>
        <v>0.42352941176470588</v>
      </c>
      <c r="J10" s="381">
        <v>18</v>
      </c>
    </row>
    <row r="11" spans="1:19" s="371" customFormat="1" ht="15.75" customHeight="1" x14ac:dyDescent="0.25">
      <c r="A11" s="397" t="s">
        <v>38</v>
      </c>
      <c r="B11" s="398">
        <v>39</v>
      </c>
      <c r="C11" s="382">
        <v>57</v>
      </c>
      <c r="D11" s="361">
        <v>128</v>
      </c>
      <c r="E11" s="390">
        <f t="shared" si="2"/>
        <v>0.4453125</v>
      </c>
      <c r="F11" s="382">
        <v>102</v>
      </c>
      <c r="G11" s="361">
        <f t="shared" si="1"/>
        <v>82</v>
      </c>
      <c r="H11" s="361">
        <v>188</v>
      </c>
      <c r="I11" s="362">
        <f t="shared" si="0"/>
        <v>0.55434782608695654</v>
      </c>
      <c r="J11" s="383">
        <v>4</v>
      </c>
      <c r="K11" s="367"/>
      <c r="L11" s="367"/>
      <c r="M11" s="367"/>
      <c r="N11" s="367"/>
      <c r="O11" s="367"/>
      <c r="P11" s="367"/>
      <c r="Q11" s="367"/>
      <c r="R11" s="367"/>
      <c r="S11" s="367"/>
    </row>
    <row r="12" spans="1:19" ht="15.75" customHeight="1" x14ac:dyDescent="0.25">
      <c r="A12" s="395" t="s">
        <v>39</v>
      </c>
      <c r="B12" s="396">
        <v>47</v>
      </c>
      <c r="C12" s="380">
        <v>15</v>
      </c>
      <c r="D12" s="374">
        <v>118</v>
      </c>
      <c r="E12" s="389">
        <f t="shared" si="2"/>
        <v>0.1271186440677966</v>
      </c>
      <c r="F12" s="380">
        <v>4</v>
      </c>
      <c r="G12" s="374">
        <f t="shared" si="1"/>
        <v>49</v>
      </c>
      <c r="H12" s="374">
        <v>80</v>
      </c>
      <c r="I12" s="375">
        <f t="shared" si="0"/>
        <v>7.5471698113207544E-2</v>
      </c>
      <c r="J12" s="381">
        <v>27</v>
      </c>
    </row>
    <row r="13" spans="1:19" ht="15.75" customHeight="1" x14ac:dyDescent="0.25">
      <c r="A13" s="401" t="s">
        <v>40</v>
      </c>
      <c r="B13" s="402">
        <v>42</v>
      </c>
      <c r="C13" s="386">
        <v>0</v>
      </c>
      <c r="D13" s="359">
        <v>76</v>
      </c>
      <c r="E13" s="392">
        <f t="shared" si="2"/>
        <v>0</v>
      </c>
      <c r="F13" s="386">
        <v>3</v>
      </c>
      <c r="G13" s="359">
        <f t="shared" si="1"/>
        <v>42</v>
      </c>
      <c r="H13" s="359">
        <v>60</v>
      </c>
      <c r="I13" s="360">
        <f t="shared" si="0"/>
        <v>6.6666666666666666E-2</v>
      </c>
      <c r="J13" s="387">
        <v>15</v>
      </c>
    </row>
    <row r="14" spans="1:19" ht="15.75" customHeight="1" x14ac:dyDescent="0.25">
      <c r="A14" s="395" t="s">
        <v>537</v>
      </c>
      <c r="B14" s="396">
        <v>44</v>
      </c>
      <c r="C14" s="380">
        <v>0</v>
      </c>
      <c r="D14" s="374">
        <v>128</v>
      </c>
      <c r="E14" s="389">
        <f t="shared" si="2"/>
        <v>0</v>
      </c>
      <c r="F14" s="380">
        <v>23</v>
      </c>
      <c r="G14" s="374">
        <f t="shared" si="1"/>
        <v>50</v>
      </c>
      <c r="H14" s="374">
        <v>90</v>
      </c>
      <c r="I14" s="375">
        <f t="shared" si="0"/>
        <v>0.31506849315068491</v>
      </c>
      <c r="J14" s="381">
        <v>17</v>
      </c>
    </row>
    <row r="15" spans="1:19" ht="15.75" customHeight="1" x14ac:dyDescent="0.25">
      <c r="A15" s="401" t="s">
        <v>536</v>
      </c>
      <c r="B15" s="402">
        <v>46</v>
      </c>
      <c r="C15" s="386">
        <v>9</v>
      </c>
      <c r="D15" s="359">
        <v>95</v>
      </c>
      <c r="E15" s="392">
        <f t="shared" si="2"/>
        <v>9.4736842105263161E-2</v>
      </c>
      <c r="F15" s="386">
        <v>31</v>
      </c>
      <c r="G15" s="359">
        <f t="shared" si="1"/>
        <v>38</v>
      </c>
      <c r="H15" s="359">
        <v>85</v>
      </c>
      <c r="I15" s="360">
        <f t="shared" si="0"/>
        <v>0.44927536231884058</v>
      </c>
      <c r="J15" s="387">
        <v>16</v>
      </c>
    </row>
    <row r="16" spans="1:19" ht="15.75" customHeight="1" x14ac:dyDescent="0.25">
      <c r="A16" s="395" t="s">
        <v>42</v>
      </c>
      <c r="B16" s="396">
        <v>66</v>
      </c>
      <c r="C16" s="380">
        <v>22</v>
      </c>
      <c r="D16" s="374">
        <v>130</v>
      </c>
      <c r="E16" s="389">
        <f t="shared" si="2"/>
        <v>0.16923076923076924</v>
      </c>
      <c r="F16" s="380">
        <v>56</v>
      </c>
      <c r="G16" s="374">
        <f t="shared" si="1"/>
        <v>64</v>
      </c>
      <c r="H16" s="374">
        <v>135</v>
      </c>
      <c r="I16" s="375">
        <f t="shared" si="0"/>
        <v>0.46666666666666667</v>
      </c>
      <c r="J16" s="381">
        <v>15</v>
      </c>
    </row>
    <row r="17" spans="1:19" s="371" customFormat="1" ht="15.75" customHeight="1" x14ac:dyDescent="0.25">
      <c r="A17" s="397" t="s">
        <v>43</v>
      </c>
      <c r="B17" s="398">
        <v>37</v>
      </c>
      <c r="C17" s="382">
        <v>45</v>
      </c>
      <c r="D17" s="361">
        <v>147</v>
      </c>
      <c r="E17" s="390">
        <f t="shared" si="2"/>
        <v>0.30612244897959184</v>
      </c>
      <c r="F17" s="382">
        <v>90</v>
      </c>
      <c r="G17" s="361">
        <f t="shared" si="1"/>
        <v>91</v>
      </c>
      <c r="H17" s="361">
        <v>193</v>
      </c>
      <c r="I17" s="362">
        <f t="shared" si="0"/>
        <v>0.49723756906077349</v>
      </c>
      <c r="J17" s="383">
        <v>12</v>
      </c>
      <c r="K17" s="367"/>
      <c r="L17" s="367"/>
      <c r="M17" s="367"/>
      <c r="N17" s="367"/>
      <c r="O17" s="367"/>
      <c r="P17" s="367"/>
      <c r="Q17" s="367"/>
      <c r="R17" s="367"/>
      <c r="S17" s="367"/>
    </row>
    <row r="18" spans="1:19" s="371" customFormat="1" ht="15.75" customHeight="1" x14ac:dyDescent="0.25">
      <c r="A18" s="399" t="s">
        <v>44</v>
      </c>
      <c r="B18" s="400">
        <v>214</v>
      </c>
      <c r="C18" s="384">
        <v>1</v>
      </c>
      <c r="D18" s="376">
        <v>3</v>
      </c>
      <c r="E18" s="391">
        <f t="shared" si="2"/>
        <v>0.33333333333333331</v>
      </c>
      <c r="F18" s="384">
        <v>3</v>
      </c>
      <c r="G18" s="376">
        <f t="shared" si="1"/>
        <v>0</v>
      </c>
      <c r="H18" s="376">
        <v>3</v>
      </c>
      <c r="I18" s="377">
        <f t="shared" si="0"/>
        <v>1</v>
      </c>
      <c r="J18" s="385">
        <v>0</v>
      </c>
      <c r="K18" s="367"/>
      <c r="L18" s="367"/>
      <c r="M18" s="367"/>
      <c r="N18" s="367"/>
      <c r="O18" s="367"/>
      <c r="P18" s="367"/>
      <c r="Q18" s="367"/>
      <c r="R18" s="367"/>
      <c r="S18" s="367"/>
    </row>
    <row r="19" spans="1:19" s="371" customFormat="1" ht="15.75" customHeight="1" x14ac:dyDescent="0.25">
      <c r="A19" s="397" t="s">
        <v>45</v>
      </c>
      <c r="B19" s="398">
        <v>36</v>
      </c>
      <c r="C19" s="382">
        <v>41</v>
      </c>
      <c r="D19" s="361">
        <v>151</v>
      </c>
      <c r="E19" s="390">
        <f t="shared" si="2"/>
        <v>0.27152317880794702</v>
      </c>
      <c r="F19" s="382">
        <v>159</v>
      </c>
      <c r="G19" s="361">
        <f t="shared" si="1"/>
        <v>112</v>
      </c>
      <c r="H19" s="361">
        <v>286</v>
      </c>
      <c r="I19" s="362">
        <f t="shared" si="0"/>
        <v>0.58671586715867163</v>
      </c>
      <c r="J19" s="383">
        <v>15</v>
      </c>
      <c r="K19" s="367"/>
      <c r="L19" s="367"/>
      <c r="M19" s="367"/>
      <c r="N19" s="367"/>
      <c r="O19" s="367"/>
      <c r="P19" s="367"/>
      <c r="Q19" s="367"/>
      <c r="R19" s="367"/>
      <c r="S19" s="367"/>
    </row>
    <row r="20" spans="1:19" ht="15.75" customHeight="1" x14ac:dyDescent="0.25">
      <c r="A20" s="395" t="s">
        <v>46</v>
      </c>
      <c r="B20" s="396">
        <v>702</v>
      </c>
      <c r="C20" s="380">
        <v>17</v>
      </c>
      <c r="D20" s="374">
        <v>216</v>
      </c>
      <c r="E20" s="389">
        <f t="shared" si="2"/>
        <v>7.8703703703703706E-2</v>
      </c>
      <c r="F20" s="380">
        <v>64</v>
      </c>
      <c r="G20" s="374">
        <f t="shared" si="1"/>
        <v>119</v>
      </c>
      <c r="H20" s="374">
        <v>233</v>
      </c>
      <c r="I20" s="375">
        <f t="shared" si="0"/>
        <v>0.34972677595628415</v>
      </c>
      <c r="J20" s="381">
        <v>50</v>
      </c>
    </row>
    <row r="21" spans="1:19" ht="15.75" customHeight="1" x14ac:dyDescent="0.25">
      <c r="A21" s="401" t="s">
        <v>535</v>
      </c>
      <c r="B21" s="402">
        <v>49</v>
      </c>
      <c r="C21" s="386"/>
      <c r="D21" s="359"/>
      <c r="E21" s="392"/>
      <c r="F21" s="386">
        <v>223</v>
      </c>
      <c r="G21" s="359">
        <f t="shared" si="1"/>
        <v>389</v>
      </c>
      <c r="H21" s="359">
        <v>623</v>
      </c>
      <c r="I21" s="360">
        <f t="shared" si="0"/>
        <v>0.36437908496732024</v>
      </c>
      <c r="J21" s="387">
        <v>11</v>
      </c>
    </row>
    <row r="22" spans="1:19" ht="15.75" customHeight="1" x14ac:dyDescent="0.25">
      <c r="A22" s="395" t="s">
        <v>47</v>
      </c>
      <c r="B22" s="396">
        <v>701</v>
      </c>
      <c r="C22" s="380">
        <v>15</v>
      </c>
      <c r="D22" s="374">
        <v>155</v>
      </c>
      <c r="E22" s="389">
        <f t="shared" ref="E22:E51" si="3">C22/D22</f>
        <v>9.6774193548387094E-2</v>
      </c>
      <c r="F22" s="380">
        <v>39</v>
      </c>
      <c r="G22" s="374">
        <f t="shared" si="1"/>
        <v>333</v>
      </c>
      <c r="H22" s="374">
        <v>414</v>
      </c>
      <c r="I22" s="375">
        <f t="shared" si="0"/>
        <v>0.10483870967741936</v>
      </c>
      <c r="J22" s="381">
        <v>42</v>
      </c>
    </row>
    <row r="23" spans="1:19" ht="15.75" customHeight="1" x14ac:dyDescent="0.25">
      <c r="A23" s="401" t="s">
        <v>48</v>
      </c>
      <c r="B23" s="402">
        <v>213</v>
      </c>
      <c r="C23" s="386">
        <v>9</v>
      </c>
      <c r="D23" s="359">
        <v>90</v>
      </c>
      <c r="E23" s="392">
        <f t="shared" si="3"/>
        <v>0.1</v>
      </c>
      <c r="F23" s="386">
        <v>13</v>
      </c>
      <c r="G23" s="359">
        <f t="shared" si="1"/>
        <v>48</v>
      </c>
      <c r="H23" s="359">
        <v>64</v>
      </c>
      <c r="I23" s="360">
        <f t="shared" si="0"/>
        <v>0.21311475409836064</v>
      </c>
      <c r="J23" s="387">
        <v>3</v>
      </c>
    </row>
    <row r="24" spans="1:19" ht="15.75" customHeight="1" x14ac:dyDescent="0.25">
      <c r="A24" s="395" t="s">
        <v>49</v>
      </c>
      <c r="B24" s="396">
        <v>216</v>
      </c>
      <c r="C24" s="380">
        <v>25</v>
      </c>
      <c r="D24" s="374">
        <v>415</v>
      </c>
      <c r="E24" s="389">
        <f t="shared" si="3"/>
        <v>6.0240963855421686E-2</v>
      </c>
      <c r="F24" s="380">
        <v>68</v>
      </c>
      <c r="G24" s="374">
        <f t="shared" si="1"/>
        <v>393</v>
      </c>
      <c r="H24" s="374">
        <v>493</v>
      </c>
      <c r="I24" s="375">
        <f t="shared" si="0"/>
        <v>0.1475054229934924</v>
      </c>
      <c r="J24" s="381">
        <v>32</v>
      </c>
    </row>
    <row r="25" spans="1:19" ht="15.75" customHeight="1" x14ac:dyDescent="0.25">
      <c r="A25" s="401" t="s">
        <v>50</v>
      </c>
      <c r="B25" s="402">
        <v>212</v>
      </c>
      <c r="C25" s="386">
        <v>9</v>
      </c>
      <c r="D25" s="359">
        <v>90</v>
      </c>
      <c r="E25" s="392">
        <f t="shared" si="3"/>
        <v>0.1</v>
      </c>
      <c r="F25" s="386">
        <v>29</v>
      </c>
      <c r="G25" s="359">
        <f t="shared" si="1"/>
        <v>33</v>
      </c>
      <c r="H25" s="359">
        <v>64</v>
      </c>
      <c r="I25" s="360">
        <f t="shared" si="0"/>
        <v>0.46774193548387094</v>
      </c>
      <c r="J25" s="387">
        <v>2</v>
      </c>
    </row>
    <row r="26" spans="1:19" s="371" customFormat="1" ht="15.75" customHeight="1" x14ac:dyDescent="0.25">
      <c r="A26" s="399" t="s">
        <v>51</v>
      </c>
      <c r="B26" s="400">
        <v>204</v>
      </c>
      <c r="C26" s="384">
        <v>55</v>
      </c>
      <c r="D26" s="376">
        <v>186</v>
      </c>
      <c r="E26" s="391">
        <f t="shared" si="3"/>
        <v>0.29569892473118281</v>
      </c>
      <c r="F26" s="384">
        <v>97</v>
      </c>
      <c r="G26" s="376">
        <f t="shared" si="1"/>
        <v>55</v>
      </c>
      <c r="H26" s="376">
        <v>188</v>
      </c>
      <c r="I26" s="377">
        <f t="shared" si="0"/>
        <v>0.63815789473684215</v>
      </c>
      <c r="J26" s="385">
        <v>36</v>
      </c>
      <c r="K26" s="367"/>
      <c r="L26" s="367"/>
      <c r="M26" s="367"/>
      <c r="N26" s="367"/>
      <c r="O26" s="367"/>
      <c r="P26" s="367"/>
      <c r="Q26" s="367"/>
      <c r="R26" s="367"/>
      <c r="S26" s="367"/>
    </row>
    <row r="27" spans="1:19" ht="15.75" customHeight="1" x14ac:dyDescent="0.25">
      <c r="A27" s="401" t="s">
        <v>52</v>
      </c>
      <c r="B27" s="402">
        <v>210</v>
      </c>
      <c r="C27" s="386">
        <v>4</v>
      </c>
      <c r="D27" s="359">
        <v>210</v>
      </c>
      <c r="E27" s="392">
        <f t="shared" si="3"/>
        <v>1.9047619047619049E-2</v>
      </c>
      <c r="F27" s="386">
        <v>10</v>
      </c>
      <c r="G27" s="359">
        <f t="shared" si="1"/>
        <v>93</v>
      </c>
      <c r="H27" s="359">
        <v>163</v>
      </c>
      <c r="I27" s="360">
        <f t="shared" si="0"/>
        <v>9.7087378640776698E-2</v>
      </c>
      <c r="J27" s="387">
        <v>60</v>
      </c>
    </row>
    <row r="28" spans="1:19" ht="15.75" customHeight="1" x14ac:dyDescent="0.25">
      <c r="A28" s="395" t="s">
        <v>53</v>
      </c>
      <c r="B28" s="396">
        <v>205</v>
      </c>
      <c r="C28" s="380">
        <v>20</v>
      </c>
      <c r="D28" s="374">
        <v>202</v>
      </c>
      <c r="E28" s="389">
        <f t="shared" si="3"/>
        <v>9.9009900990099015E-2</v>
      </c>
      <c r="F28" s="380">
        <v>28</v>
      </c>
      <c r="G28" s="374">
        <f t="shared" si="1"/>
        <v>98</v>
      </c>
      <c r="H28" s="374">
        <v>155</v>
      </c>
      <c r="I28" s="375">
        <f t="shared" si="0"/>
        <v>0.22222222222222221</v>
      </c>
      <c r="J28" s="381">
        <v>29</v>
      </c>
    </row>
    <row r="29" spans="1:19" ht="15.75" customHeight="1" x14ac:dyDescent="0.25">
      <c r="A29" s="401" t="s">
        <v>54</v>
      </c>
      <c r="B29" s="402">
        <v>61</v>
      </c>
      <c r="C29" s="386">
        <v>43</v>
      </c>
      <c r="D29" s="359">
        <v>385</v>
      </c>
      <c r="E29" s="392">
        <f t="shared" si="3"/>
        <v>0.11168831168831168</v>
      </c>
      <c r="F29" s="386">
        <v>87</v>
      </c>
      <c r="G29" s="359">
        <f t="shared" si="1"/>
        <v>170</v>
      </c>
      <c r="H29" s="359">
        <v>330</v>
      </c>
      <c r="I29" s="360">
        <f t="shared" si="0"/>
        <v>0.33852140077821014</v>
      </c>
      <c r="J29" s="387">
        <v>73</v>
      </c>
    </row>
    <row r="30" spans="1:19" ht="15.75" customHeight="1" x14ac:dyDescent="0.25">
      <c r="A30" s="395" t="s">
        <v>55</v>
      </c>
      <c r="B30" s="396">
        <v>75</v>
      </c>
      <c r="C30" s="380">
        <v>10</v>
      </c>
      <c r="D30" s="374">
        <v>182</v>
      </c>
      <c r="E30" s="389">
        <f t="shared" si="3"/>
        <v>5.4945054945054944E-2</v>
      </c>
      <c r="F30" s="380">
        <v>30</v>
      </c>
      <c r="G30" s="374">
        <f t="shared" si="1"/>
        <v>84</v>
      </c>
      <c r="H30" s="374">
        <v>181</v>
      </c>
      <c r="I30" s="375">
        <f t="shared" si="0"/>
        <v>0.26315789473684209</v>
      </c>
      <c r="J30" s="381">
        <v>67</v>
      </c>
    </row>
    <row r="31" spans="1:19" ht="15.75" customHeight="1" x14ac:dyDescent="0.25">
      <c r="A31" s="401" t="s">
        <v>56</v>
      </c>
      <c r="B31" s="402">
        <v>208</v>
      </c>
      <c r="C31" s="386">
        <v>7</v>
      </c>
      <c r="D31" s="359">
        <v>143</v>
      </c>
      <c r="E31" s="392">
        <f t="shared" si="3"/>
        <v>4.8951048951048952E-2</v>
      </c>
      <c r="F31" s="386">
        <v>52</v>
      </c>
      <c r="G31" s="359">
        <f t="shared" si="1"/>
        <v>82</v>
      </c>
      <c r="H31" s="359">
        <v>162</v>
      </c>
      <c r="I31" s="360">
        <f t="shared" si="0"/>
        <v>0.38805970149253732</v>
      </c>
      <c r="J31" s="387">
        <v>28</v>
      </c>
    </row>
    <row r="32" spans="1:19" ht="15.75" customHeight="1" x14ac:dyDescent="0.25">
      <c r="A32" s="395" t="s">
        <v>57</v>
      </c>
      <c r="B32" s="396">
        <v>201</v>
      </c>
      <c r="C32" s="380">
        <v>78</v>
      </c>
      <c r="D32" s="374">
        <v>372</v>
      </c>
      <c r="E32" s="389">
        <f t="shared" si="3"/>
        <v>0.20967741935483872</v>
      </c>
      <c r="F32" s="380">
        <v>117</v>
      </c>
      <c r="G32" s="374">
        <f t="shared" si="1"/>
        <v>173</v>
      </c>
      <c r="H32" s="374">
        <v>353</v>
      </c>
      <c r="I32" s="375">
        <f t="shared" si="0"/>
        <v>0.40344827586206894</v>
      </c>
      <c r="J32" s="381">
        <v>63</v>
      </c>
    </row>
    <row r="33" spans="1:19" ht="15.75" customHeight="1" x14ac:dyDescent="0.25">
      <c r="A33" s="401" t="s">
        <v>58</v>
      </c>
      <c r="B33" s="402">
        <v>51</v>
      </c>
      <c r="C33" s="386">
        <v>9</v>
      </c>
      <c r="D33" s="359">
        <v>229</v>
      </c>
      <c r="E33" s="392">
        <f t="shared" si="3"/>
        <v>3.9301310043668124E-2</v>
      </c>
      <c r="F33" s="386">
        <v>19</v>
      </c>
      <c r="G33" s="359">
        <f t="shared" si="1"/>
        <v>160</v>
      </c>
      <c r="H33" s="359">
        <v>229</v>
      </c>
      <c r="I33" s="360">
        <f t="shared" si="0"/>
        <v>0.10614525139664804</v>
      </c>
      <c r="J33" s="387">
        <v>50</v>
      </c>
    </row>
    <row r="34" spans="1:19" ht="15.75" customHeight="1" x14ac:dyDescent="0.25">
      <c r="A34" s="395" t="s">
        <v>59</v>
      </c>
      <c r="B34" s="396">
        <v>33</v>
      </c>
      <c r="C34" s="380">
        <v>28</v>
      </c>
      <c r="D34" s="374">
        <v>218</v>
      </c>
      <c r="E34" s="389">
        <f t="shared" si="3"/>
        <v>0.12844036697247707</v>
      </c>
      <c r="F34" s="380">
        <v>35</v>
      </c>
      <c r="G34" s="374">
        <f t="shared" si="1"/>
        <v>93</v>
      </c>
      <c r="H34" s="374">
        <v>160</v>
      </c>
      <c r="I34" s="375">
        <f t="shared" si="0"/>
        <v>0.2734375</v>
      </c>
      <c r="J34" s="381">
        <v>32</v>
      </c>
    </row>
    <row r="35" spans="1:19" s="371" customFormat="1" ht="15.75" customHeight="1" x14ac:dyDescent="0.25">
      <c r="A35" s="397" t="s">
        <v>280</v>
      </c>
      <c r="B35" s="398">
        <v>703</v>
      </c>
      <c r="C35" s="382">
        <v>86</v>
      </c>
      <c r="D35" s="361">
        <v>248</v>
      </c>
      <c r="E35" s="390">
        <f t="shared" si="3"/>
        <v>0.34677419354838712</v>
      </c>
      <c r="F35" s="382">
        <v>91</v>
      </c>
      <c r="G35" s="361">
        <f t="shared" si="1"/>
        <v>82</v>
      </c>
      <c r="H35" s="361">
        <v>198</v>
      </c>
      <c r="I35" s="362">
        <f t="shared" ref="I35:I51" si="4">F35/(F35+G35)</f>
        <v>0.52601156069364163</v>
      </c>
      <c r="J35" s="383">
        <v>25</v>
      </c>
      <c r="K35" s="367"/>
      <c r="L35" s="367"/>
      <c r="M35" s="367"/>
      <c r="N35" s="367"/>
      <c r="O35" s="367"/>
      <c r="P35" s="367"/>
      <c r="Q35" s="367"/>
      <c r="R35" s="367"/>
      <c r="S35" s="367"/>
    </row>
    <row r="36" spans="1:19" ht="15.75" customHeight="1" x14ac:dyDescent="0.25">
      <c r="A36" s="395" t="s">
        <v>60</v>
      </c>
      <c r="B36" s="396">
        <v>73</v>
      </c>
      <c r="C36" s="380">
        <v>56</v>
      </c>
      <c r="D36" s="374">
        <v>385</v>
      </c>
      <c r="E36" s="389">
        <f t="shared" si="3"/>
        <v>0.14545454545454545</v>
      </c>
      <c r="F36" s="380">
        <v>116</v>
      </c>
      <c r="G36" s="374">
        <f t="shared" si="1"/>
        <v>147</v>
      </c>
      <c r="H36" s="374">
        <v>328</v>
      </c>
      <c r="I36" s="375">
        <f t="shared" si="4"/>
        <v>0.44106463878326996</v>
      </c>
      <c r="J36" s="381">
        <v>65</v>
      </c>
    </row>
    <row r="37" spans="1:19" ht="15.75" customHeight="1" x14ac:dyDescent="0.25">
      <c r="A37" s="401" t="s">
        <v>534</v>
      </c>
      <c r="B37" s="402">
        <v>41</v>
      </c>
      <c r="C37" s="386">
        <v>14</v>
      </c>
      <c r="D37" s="359">
        <v>188</v>
      </c>
      <c r="E37" s="392">
        <f t="shared" si="3"/>
        <v>7.4468085106382975E-2</v>
      </c>
      <c r="F37" s="386">
        <v>60</v>
      </c>
      <c r="G37" s="359">
        <f t="shared" si="1"/>
        <v>126</v>
      </c>
      <c r="H37" s="359">
        <v>233</v>
      </c>
      <c r="I37" s="360">
        <f t="shared" si="4"/>
        <v>0.32258064516129031</v>
      </c>
      <c r="J37" s="387">
        <v>47</v>
      </c>
    </row>
    <row r="38" spans="1:19" s="371" customFormat="1" ht="15.75" customHeight="1" x14ac:dyDescent="0.25">
      <c r="A38" s="399" t="s">
        <v>61</v>
      </c>
      <c r="B38" s="400">
        <v>206</v>
      </c>
      <c r="C38" s="384">
        <v>77</v>
      </c>
      <c r="D38" s="376">
        <v>635</v>
      </c>
      <c r="E38" s="391">
        <f t="shared" si="3"/>
        <v>0.12125984251968504</v>
      </c>
      <c r="F38" s="384">
        <v>187</v>
      </c>
      <c r="G38" s="376">
        <f t="shared" si="1"/>
        <v>179</v>
      </c>
      <c r="H38" s="376">
        <v>558</v>
      </c>
      <c r="I38" s="377">
        <f t="shared" si="4"/>
        <v>0.51092896174863389</v>
      </c>
      <c r="J38" s="385">
        <v>192</v>
      </c>
      <c r="K38" s="367"/>
      <c r="L38" s="367"/>
      <c r="M38" s="367"/>
      <c r="N38" s="367"/>
      <c r="O38" s="367"/>
      <c r="P38" s="367"/>
      <c r="Q38" s="367"/>
      <c r="R38" s="367"/>
      <c r="S38" s="367"/>
    </row>
    <row r="39" spans="1:19" ht="15.75" customHeight="1" x14ac:dyDescent="0.25">
      <c r="A39" s="401" t="s">
        <v>62</v>
      </c>
      <c r="B39" s="402">
        <v>71</v>
      </c>
      <c r="C39" s="386">
        <v>18</v>
      </c>
      <c r="D39" s="359">
        <v>296</v>
      </c>
      <c r="E39" s="392">
        <f t="shared" si="3"/>
        <v>6.0810810810810814E-2</v>
      </c>
      <c r="F39" s="386">
        <v>39</v>
      </c>
      <c r="G39" s="359">
        <f t="shared" si="1"/>
        <v>111</v>
      </c>
      <c r="H39" s="359">
        <v>223</v>
      </c>
      <c r="I39" s="360">
        <f t="shared" si="4"/>
        <v>0.26</v>
      </c>
      <c r="J39" s="387">
        <v>73</v>
      </c>
    </row>
    <row r="40" spans="1:19" ht="15.75" customHeight="1" x14ac:dyDescent="0.25">
      <c r="A40" s="395" t="s">
        <v>63</v>
      </c>
      <c r="B40" s="396">
        <v>207</v>
      </c>
      <c r="C40" s="380">
        <v>8</v>
      </c>
      <c r="D40" s="374">
        <v>146</v>
      </c>
      <c r="E40" s="389">
        <f t="shared" si="3"/>
        <v>5.4794520547945202E-2</v>
      </c>
      <c r="F40" s="380">
        <v>39</v>
      </c>
      <c r="G40" s="374">
        <f t="shared" si="1"/>
        <v>62</v>
      </c>
      <c r="H40" s="374">
        <v>133</v>
      </c>
      <c r="I40" s="375">
        <f t="shared" si="4"/>
        <v>0.38613861386138615</v>
      </c>
      <c r="J40" s="381">
        <v>32</v>
      </c>
    </row>
    <row r="41" spans="1:19" ht="15.75" customHeight="1" x14ac:dyDescent="0.25">
      <c r="A41" s="401" t="s">
        <v>64</v>
      </c>
      <c r="B41" s="402">
        <v>67</v>
      </c>
      <c r="C41" s="386">
        <v>6</v>
      </c>
      <c r="D41" s="359">
        <v>78</v>
      </c>
      <c r="E41" s="392">
        <f t="shared" si="3"/>
        <v>7.6923076923076927E-2</v>
      </c>
      <c r="F41" s="386">
        <v>17</v>
      </c>
      <c r="G41" s="359">
        <f t="shared" si="1"/>
        <v>58</v>
      </c>
      <c r="H41" s="359">
        <v>94</v>
      </c>
      <c r="I41" s="360">
        <f t="shared" si="4"/>
        <v>0.22666666666666666</v>
      </c>
      <c r="J41" s="387">
        <v>19</v>
      </c>
    </row>
    <row r="42" spans="1:19" ht="15.75" customHeight="1" x14ac:dyDescent="0.25">
      <c r="A42" s="395" t="s">
        <v>65</v>
      </c>
      <c r="B42" s="396">
        <v>72</v>
      </c>
      <c r="C42" s="380">
        <v>7</v>
      </c>
      <c r="D42" s="374">
        <v>130</v>
      </c>
      <c r="E42" s="389">
        <f t="shared" si="3"/>
        <v>5.3846153846153849E-2</v>
      </c>
      <c r="F42" s="380">
        <v>36</v>
      </c>
      <c r="G42" s="374">
        <f t="shared" si="1"/>
        <v>80</v>
      </c>
      <c r="H42" s="374">
        <v>158</v>
      </c>
      <c r="I42" s="375">
        <f t="shared" si="4"/>
        <v>0.31034482758620691</v>
      </c>
      <c r="J42" s="381">
        <v>42</v>
      </c>
    </row>
    <row r="43" spans="1:19" ht="15.75" customHeight="1" x14ac:dyDescent="0.25">
      <c r="A43" s="401" t="s">
        <v>66</v>
      </c>
      <c r="B43" s="402">
        <v>53</v>
      </c>
      <c r="C43" s="386">
        <v>4</v>
      </c>
      <c r="D43" s="359">
        <v>92</v>
      </c>
      <c r="E43" s="392">
        <f t="shared" si="3"/>
        <v>4.3478260869565216E-2</v>
      </c>
      <c r="F43" s="386">
        <v>9</v>
      </c>
      <c r="G43" s="359">
        <f t="shared" si="1"/>
        <v>68</v>
      </c>
      <c r="H43" s="359">
        <v>94</v>
      </c>
      <c r="I43" s="360">
        <f t="shared" si="4"/>
        <v>0.11688311688311688</v>
      </c>
      <c r="J43" s="387">
        <v>17</v>
      </c>
    </row>
    <row r="44" spans="1:19" ht="15.75" customHeight="1" x14ac:dyDescent="0.25">
      <c r="A44" s="395" t="s">
        <v>67</v>
      </c>
      <c r="B44" s="396">
        <v>35</v>
      </c>
      <c r="C44" s="380">
        <v>10</v>
      </c>
      <c r="D44" s="374">
        <v>130</v>
      </c>
      <c r="E44" s="389">
        <f t="shared" si="3"/>
        <v>7.6923076923076927E-2</v>
      </c>
      <c r="F44" s="380">
        <v>25</v>
      </c>
      <c r="G44" s="374">
        <f t="shared" si="1"/>
        <v>59</v>
      </c>
      <c r="H44" s="374">
        <v>143</v>
      </c>
      <c r="I44" s="375">
        <f t="shared" si="4"/>
        <v>0.29761904761904762</v>
      </c>
      <c r="J44" s="381">
        <v>59</v>
      </c>
    </row>
    <row r="45" spans="1:19" ht="15.75" customHeight="1" x14ac:dyDescent="0.25">
      <c r="A45" s="401" t="s">
        <v>68</v>
      </c>
      <c r="B45" s="402">
        <v>64</v>
      </c>
      <c r="C45" s="386">
        <v>10</v>
      </c>
      <c r="D45" s="359">
        <v>110</v>
      </c>
      <c r="E45" s="392">
        <f t="shared" si="3"/>
        <v>9.0909090909090912E-2</v>
      </c>
      <c r="F45" s="386">
        <v>19</v>
      </c>
      <c r="G45" s="359">
        <f t="shared" si="1"/>
        <v>66</v>
      </c>
      <c r="H45" s="359">
        <v>110</v>
      </c>
      <c r="I45" s="360">
        <f t="shared" si="4"/>
        <v>0.22352941176470589</v>
      </c>
      <c r="J45" s="387">
        <v>25</v>
      </c>
    </row>
    <row r="46" spans="1:19" ht="15.75" customHeight="1" x14ac:dyDescent="0.25">
      <c r="A46" s="395" t="s">
        <v>69</v>
      </c>
      <c r="B46" s="396">
        <v>203</v>
      </c>
      <c r="C46" s="380">
        <v>20</v>
      </c>
      <c r="D46" s="374">
        <v>198</v>
      </c>
      <c r="E46" s="389">
        <f t="shared" si="3"/>
        <v>0.10101010101010101</v>
      </c>
      <c r="F46" s="380">
        <v>24</v>
      </c>
      <c r="G46" s="374">
        <f t="shared" si="1"/>
        <v>70</v>
      </c>
      <c r="H46" s="374">
        <v>137</v>
      </c>
      <c r="I46" s="375">
        <f t="shared" si="4"/>
        <v>0.25531914893617019</v>
      </c>
      <c r="J46" s="381">
        <v>43</v>
      </c>
    </row>
    <row r="47" spans="1:19" ht="15.75" customHeight="1" x14ac:dyDescent="0.25">
      <c r="A47" s="401" t="s">
        <v>70</v>
      </c>
      <c r="B47" s="402">
        <v>34</v>
      </c>
      <c r="C47" s="386">
        <v>25</v>
      </c>
      <c r="D47" s="359">
        <v>231</v>
      </c>
      <c r="E47" s="392">
        <f t="shared" si="3"/>
        <v>0.10822510822510822</v>
      </c>
      <c r="F47" s="386">
        <v>32</v>
      </c>
      <c r="G47" s="359">
        <f t="shared" si="1"/>
        <v>102</v>
      </c>
      <c r="H47" s="359">
        <v>195</v>
      </c>
      <c r="I47" s="360">
        <f t="shared" si="4"/>
        <v>0.23880597014925373</v>
      </c>
      <c r="J47" s="387">
        <v>61</v>
      </c>
    </row>
    <row r="48" spans="1:19" s="371" customFormat="1" ht="15.75" customHeight="1" x14ac:dyDescent="0.25">
      <c r="A48" s="399" t="s">
        <v>71</v>
      </c>
      <c r="B48" s="400">
        <v>63</v>
      </c>
      <c r="C48" s="384">
        <v>12</v>
      </c>
      <c r="D48" s="376">
        <v>96</v>
      </c>
      <c r="E48" s="391">
        <f t="shared" si="3"/>
        <v>0.125</v>
      </c>
      <c r="F48" s="384">
        <v>23</v>
      </c>
      <c r="G48" s="376">
        <f t="shared" si="1"/>
        <v>22</v>
      </c>
      <c r="H48" s="376">
        <v>66</v>
      </c>
      <c r="I48" s="377">
        <f t="shared" si="4"/>
        <v>0.51111111111111107</v>
      </c>
      <c r="J48" s="385">
        <v>21</v>
      </c>
      <c r="K48" s="367"/>
      <c r="L48" s="367"/>
      <c r="M48" s="367"/>
      <c r="N48" s="367"/>
      <c r="O48" s="367"/>
      <c r="P48" s="367"/>
      <c r="Q48" s="367"/>
      <c r="R48" s="367"/>
      <c r="S48" s="367"/>
    </row>
    <row r="49" spans="1:19" ht="15.75" customHeight="1" x14ac:dyDescent="0.25">
      <c r="A49" s="401" t="s">
        <v>72</v>
      </c>
      <c r="B49" s="402">
        <v>31</v>
      </c>
      <c r="C49" s="386">
        <v>88</v>
      </c>
      <c r="D49" s="359">
        <v>460</v>
      </c>
      <c r="E49" s="392">
        <f t="shared" si="3"/>
        <v>0.19130434782608696</v>
      </c>
      <c r="F49" s="386">
        <v>157</v>
      </c>
      <c r="G49" s="359">
        <f t="shared" si="1"/>
        <v>186</v>
      </c>
      <c r="H49" s="359">
        <v>451</v>
      </c>
      <c r="I49" s="360">
        <f t="shared" si="4"/>
        <v>0.45772594752186591</v>
      </c>
      <c r="J49" s="387">
        <v>108</v>
      </c>
    </row>
    <row r="50" spans="1:19" ht="15.75" customHeight="1" thickBot="1" x14ac:dyDescent="0.3">
      <c r="A50" s="403" t="s">
        <v>73</v>
      </c>
      <c r="B50" s="404">
        <v>76</v>
      </c>
      <c r="C50" s="405">
        <v>24</v>
      </c>
      <c r="D50" s="406">
        <v>230</v>
      </c>
      <c r="E50" s="407">
        <f t="shared" si="3"/>
        <v>0.10434782608695652</v>
      </c>
      <c r="F50" s="405">
        <v>71</v>
      </c>
      <c r="G50" s="406">
        <f t="shared" si="1"/>
        <v>104</v>
      </c>
      <c r="H50" s="406">
        <v>231</v>
      </c>
      <c r="I50" s="408">
        <f t="shared" si="4"/>
        <v>0.40571428571428569</v>
      </c>
      <c r="J50" s="409">
        <v>56</v>
      </c>
    </row>
    <row r="51" spans="1:19" s="364" customFormat="1" ht="35.25" customHeight="1" thickBot="1" x14ac:dyDescent="0.3">
      <c r="A51" s="410" t="s">
        <v>533</v>
      </c>
      <c r="B51" s="411"/>
      <c r="C51" s="412">
        <f>SUM(C3:C50)</f>
        <v>1246</v>
      </c>
      <c r="D51" s="413">
        <f>SUM(D3:D50)</f>
        <v>9237</v>
      </c>
      <c r="E51" s="414">
        <f t="shared" si="3"/>
        <v>0.13489228104362888</v>
      </c>
      <c r="F51" s="412">
        <f>SUM(F3:F50)</f>
        <v>2925</v>
      </c>
      <c r="G51" s="413">
        <f>SUM(G3:G50)</f>
        <v>5203</v>
      </c>
      <c r="H51" s="413">
        <f>SUM(H3:H50)</f>
        <v>9890</v>
      </c>
      <c r="I51" s="415">
        <f t="shared" si="4"/>
        <v>0.35986712598425197</v>
      </c>
      <c r="J51" s="411">
        <f>SUM(J3:J50)</f>
        <v>1762</v>
      </c>
      <c r="K51" s="372"/>
      <c r="L51" s="372"/>
      <c r="M51" s="372"/>
      <c r="N51" s="372"/>
      <c r="O51" s="372"/>
      <c r="P51" s="372"/>
      <c r="Q51" s="372"/>
      <c r="R51" s="372"/>
      <c r="S51" s="372"/>
    </row>
    <row r="52" spans="1:19" x14ac:dyDescent="0.25">
      <c r="I52" s="365">
        <f>F51/H51</f>
        <v>0.29575328614762386</v>
      </c>
    </row>
    <row r="53" spans="1:19" x14ac:dyDescent="0.25">
      <c r="I53" s="363"/>
    </row>
    <row r="54" spans="1:19" x14ac:dyDescent="0.25">
      <c r="I54" s="419"/>
      <c r="J54" s="367"/>
    </row>
    <row r="55" spans="1:19" x14ac:dyDescent="0.25">
      <c r="I55" s="419"/>
      <c r="J55" s="367"/>
    </row>
    <row r="56" spans="1:19" x14ac:dyDescent="0.25">
      <c r="I56" s="419"/>
      <c r="J56" s="367"/>
    </row>
    <row r="57" spans="1:19" x14ac:dyDescent="0.25">
      <c r="I57" s="419"/>
      <c r="J57" s="367"/>
    </row>
    <row r="58" spans="1:19" x14ac:dyDescent="0.25">
      <c r="I58" s="419"/>
      <c r="J58" s="367"/>
    </row>
    <row r="59" spans="1:19" x14ac:dyDescent="0.25">
      <c r="I59" s="419"/>
      <c r="J59" s="367"/>
    </row>
    <row r="60" spans="1:19" x14ac:dyDescent="0.25">
      <c r="I60" s="419"/>
      <c r="J60" s="367"/>
    </row>
    <row r="61" spans="1:19" x14ac:dyDescent="0.25">
      <c r="I61" s="367"/>
      <c r="J61" s="367"/>
    </row>
    <row r="62" spans="1:19" x14ac:dyDescent="0.25">
      <c r="I62" s="367"/>
      <c r="J62" s="367"/>
    </row>
    <row r="63" spans="1:19" x14ac:dyDescent="0.25">
      <c r="I63" s="367"/>
      <c r="J63" s="367"/>
    </row>
    <row r="64" spans="1:19" x14ac:dyDescent="0.25">
      <c r="I64" s="367"/>
      <c r="J64" s="367"/>
    </row>
    <row r="65" spans="9:10" x14ac:dyDescent="0.25">
      <c r="I65" s="367"/>
      <c r="J65" s="367"/>
    </row>
    <row r="66" spans="9:10" x14ac:dyDescent="0.25">
      <c r="I66" s="367"/>
      <c r="J66" s="367"/>
    </row>
    <row r="67" spans="9:10" x14ac:dyDescent="0.25">
      <c r="I67" s="367"/>
      <c r="J67" s="367"/>
    </row>
    <row r="68" spans="9:10" x14ac:dyDescent="0.25">
      <c r="I68" s="367"/>
      <c r="J68" s="367"/>
    </row>
    <row r="69" spans="9:10" x14ac:dyDescent="0.25">
      <c r="I69" s="367"/>
      <c r="J69" s="367"/>
    </row>
    <row r="70" spans="9:10" x14ac:dyDescent="0.25">
      <c r="I70" s="367"/>
      <c r="J70" s="367"/>
    </row>
    <row r="71" spans="9:10" x14ac:dyDescent="0.25">
      <c r="I71" s="367"/>
      <c r="J71" s="367"/>
    </row>
    <row r="72" spans="9:10" x14ac:dyDescent="0.25">
      <c r="I72" s="367"/>
      <c r="J72" s="367"/>
    </row>
    <row r="73" spans="9:10" x14ac:dyDescent="0.25">
      <c r="I73" s="367"/>
      <c r="J73" s="367"/>
    </row>
    <row r="74" spans="9:10" x14ac:dyDescent="0.25">
      <c r="I74" s="367"/>
      <c r="J74" s="367"/>
    </row>
    <row r="75" spans="9:10" x14ac:dyDescent="0.25">
      <c r="I75" s="367"/>
      <c r="J75" s="367"/>
    </row>
    <row r="76" spans="9:10" x14ac:dyDescent="0.25">
      <c r="I76" s="367"/>
      <c r="J76" s="367"/>
    </row>
    <row r="77" spans="9:10" x14ac:dyDescent="0.25">
      <c r="I77" s="367"/>
      <c r="J77" s="367"/>
    </row>
    <row r="78" spans="9:10" x14ac:dyDescent="0.25">
      <c r="I78" s="367"/>
      <c r="J78" s="367"/>
    </row>
    <row r="79" spans="9:10" x14ac:dyDescent="0.25">
      <c r="I79" s="367"/>
      <c r="J79" s="367"/>
    </row>
    <row r="80" spans="9:10" x14ac:dyDescent="0.25">
      <c r="I80" s="367"/>
      <c r="J80" s="367"/>
    </row>
    <row r="81" spans="9:10" x14ac:dyDescent="0.25">
      <c r="I81" s="367"/>
      <c r="J81" s="367"/>
    </row>
    <row r="82" spans="9:10" x14ac:dyDescent="0.25">
      <c r="I82" s="367"/>
      <c r="J82" s="367"/>
    </row>
    <row r="83" spans="9:10" x14ac:dyDescent="0.25">
      <c r="I83" s="367"/>
      <c r="J83" s="367"/>
    </row>
    <row r="84" spans="9:10" x14ac:dyDescent="0.25">
      <c r="I84" s="367"/>
      <c r="J84" s="367"/>
    </row>
    <row r="85" spans="9:10" x14ac:dyDescent="0.25">
      <c r="I85" s="367"/>
      <c r="J85" s="367"/>
    </row>
    <row r="86" spans="9:10" x14ac:dyDescent="0.25">
      <c r="I86" s="367"/>
      <c r="J86" s="367"/>
    </row>
    <row r="87" spans="9:10" x14ac:dyDescent="0.25">
      <c r="I87" s="367"/>
      <c r="J87" s="367"/>
    </row>
    <row r="88" spans="9:10" x14ac:dyDescent="0.25">
      <c r="I88" s="367"/>
      <c r="J88" s="367"/>
    </row>
    <row r="89" spans="9:10" x14ac:dyDescent="0.25">
      <c r="I89" s="367"/>
      <c r="J89" s="367"/>
    </row>
    <row r="90" spans="9:10" x14ac:dyDescent="0.25">
      <c r="I90" s="367"/>
      <c r="J90" s="367"/>
    </row>
    <row r="91" spans="9:10" x14ac:dyDescent="0.25">
      <c r="I91" s="367"/>
      <c r="J91" s="367"/>
    </row>
    <row r="92" spans="9:10" x14ac:dyDescent="0.25">
      <c r="I92" s="367"/>
      <c r="J92" s="367"/>
    </row>
    <row r="93" spans="9:10" x14ac:dyDescent="0.25">
      <c r="I93" s="367"/>
      <c r="J93" s="367"/>
    </row>
    <row r="94" spans="9:10" x14ac:dyDescent="0.25">
      <c r="I94" s="367"/>
      <c r="J94" s="367"/>
    </row>
    <row r="95" spans="9:10" x14ac:dyDescent="0.25">
      <c r="I95" s="367"/>
      <c r="J95" s="367"/>
    </row>
    <row r="96" spans="9:10" x14ac:dyDescent="0.25">
      <c r="I96" s="367"/>
      <c r="J96" s="367"/>
    </row>
    <row r="97" spans="9:10" x14ac:dyDescent="0.25">
      <c r="I97" s="367"/>
      <c r="J97" s="367"/>
    </row>
    <row r="98" spans="9:10" x14ac:dyDescent="0.25">
      <c r="I98" s="367"/>
      <c r="J98" s="367"/>
    </row>
    <row r="99" spans="9:10" x14ac:dyDescent="0.25">
      <c r="I99" s="367"/>
      <c r="J99" s="367"/>
    </row>
    <row r="100" spans="9:10" x14ac:dyDescent="0.25">
      <c r="I100" s="367"/>
      <c r="J100" s="367"/>
    </row>
    <row r="101" spans="9:10" x14ac:dyDescent="0.25">
      <c r="I101" s="367"/>
      <c r="J101" s="367"/>
    </row>
    <row r="102" spans="9:10" x14ac:dyDescent="0.25">
      <c r="I102" s="367"/>
      <c r="J102" s="367"/>
    </row>
    <row r="103" spans="9:10" x14ac:dyDescent="0.25">
      <c r="I103" s="367"/>
      <c r="J103" s="367"/>
    </row>
    <row r="104" spans="9:10" x14ac:dyDescent="0.25">
      <c r="I104" s="367"/>
      <c r="J104" s="367"/>
    </row>
    <row r="105" spans="9:10" x14ac:dyDescent="0.25">
      <c r="I105" s="367"/>
      <c r="J105" s="367"/>
    </row>
    <row r="106" spans="9:10" x14ac:dyDescent="0.25">
      <c r="I106" s="367"/>
      <c r="J106" s="367"/>
    </row>
    <row r="107" spans="9:10" x14ac:dyDescent="0.25">
      <c r="I107" s="367"/>
      <c r="J107" s="367"/>
    </row>
    <row r="108" spans="9:10" x14ac:dyDescent="0.25">
      <c r="I108" s="367"/>
      <c r="J108" s="367"/>
    </row>
    <row r="109" spans="9:10" x14ac:dyDescent="0.25">
      <c r="I109" s="367"/>
      <c r="J109" s="367"/>
    </row>
    <row r="110" spans="9:10" x14ac:dyDescent="0.25">
      <c r="I110" s="367"/>
      <c r="J110" s="367"/>
    </row>
    <row r="111" spans="9:10" x14ac:dyDescent="0.25">
      <c r="I111" s="367"/>
      <c r="J111" s="367"/>
    </row>
    <row r="112" spans="9:10" x14ac:dyDescent="0.25">
      <c r="I112" s="367"/>
      <c r="J112" s="367"/>
    </row>
    <row r="113" spans="9:10" x14ac:dyDescent="0.25">
      <c r="I113" s="367"/>
      <c r="J113" s="367"/>
    </row>
    <row r="114" spans="9:10" x14ac:dyDescent="0.25">
      <c r="I114" s="367"/>
      <c r="J114" s="367"/>
    </row>
    <row r="115" spans="9:10" x14ac:dyDescent="0.25">
      <c r="I115" s="367"/>
      <c r="J115" s="367"/>
    </row>
    <row r="116" spans="9:10" x14ac:dyDescent="0.25">
      <c r="I116" s="367"/>
      <c r="J116" s="367"/>
    </row>
    <row r="117" spans="9:10" x14ac:dyDescent="0.25">
      <c r="I117" s="367"/>
      <c r="J117" s="367"/>
    </row>
    <row r="118" spans="9:10" x14ac:dyDescent="0.25">
      <c r="I118" s="367"/>
      <c r="J118" s="367"/>
    </row>
    <row r="119" spans="9:10" x14ac:dyDescent="0.25">
      <c r="I119" s="367"/>
      <c r="J119" s="367"/>
    </row>
    <row r="120" spans="9:10" x14ac:dyDescent="0.25">
      <c r="I120" s="367"/>
      <c r="J120" s="367"/>
    </row>
    <row r="121" spans="9:10" x14ac:dyDescent="0.25">
      <c r="I121" s="367"/>
      <c r="J121" s="367"/>
    </row>
    <row r="122" spans="9:10" x14ac:dyDescent="0.25">
      <c r="I122" s="367"/>
      <c r="J122" s="367"/>
    </row>
    <row r="123" spans="9:10" x14ac:dyDescent="0.25">
      <c r="I123" s="367"/>
      <c r="J123" s="367"/>
    </row>
    <row r="124" spans="9:10" x14ac:dyDescent="0.25">
      <c r="I124" s="367"/>
      <c r="J124" s="367"/>
    </row>
    <row r="125" spans="9:10" x14ac:dyDescent="0.25">
      <c r="I125" s="367"/>
      <c r="J125" s="367"/>
    </row>
    <row r="126" spans="9:10" x14ac:dyDescent="0.25">
      <c r="I126" s="367"/>
      <c r="J126" s="367"/>
    </row>
    <row r="127" spans="9:10" x14ac:dyDescent="0.25">
      <c r="I127" s="367"/>
      <c r="J127" s="367"/>
    </row>
    <row r="128" spans="9:10" x14ac:dyDescent="0.25">
      <c r="I128" s="367"/>
      <c r="J128" s="367"/>
    </row>
    <row r="129" spans="9:10" x14ac:dyDescent="0.25">
      <c r="I129" s="367"/>
      <c r="J129" s="367"/>
    </row>
    <row r="130" spans="9:10" x14ac:dyDescent="0.25">
      <c r="I130" s="367"/>
      <c r="J130" s="367"/>
    </row>
    <row r="131" spans="9:10" x14ac:dyDescent="0.25">
      <c r="I131" s="367"/>
      <c r="J131" s="367"/>
    </row>
    <row r="132" spans="9:10" x14ac:dyDescent="0.25">
      <c r="I132" s="367"/>
      <c r="J132" s="367"/>
    </row>
    <row r="133" spans="9:10" x14ac:dyDescent="0.25">
      <c r="I133" s="367"/>
      <c r="J133" s="367"/>
    </row>
    <row r="134" spans="9:10" x14ac:dyDescent="0.25">
      <c r="I134" s="367"/>
      <c r="J134" s="367"/>
    </row>
    <row r="135" spans="9:10" x14ac:dyDescent="0.25">
      <c r="I135" s="367"/>
      <c r="J135" s="367"/>
    </row>
    <row r="136" spans="9:10" x14ac:dyDescent="0.25">
      <c r="I136" s="367"/>
      <c r="J136" s="367"/>
    </row>
    <row r="137" spans="9:10" x14ac:dyDescent="0.25">
      <c r="I137" s="367"/>
      <c r="J137" s="367"/>
    </row>
    <row r="138" spans="9:10" x14ac:dyDescent="0.25">
      <c r="I138" s="367"/>
      <c r="J138" s="367"/>
    </row>
    <row r="139" spans="9:10" x14ac:dyDescent="0.25">
      <c r="I139" s="367"/>
      <c r="J139" s="367"/>
    </row>
    <row r="140" spans="9:10" x14ac:dyDescent="0.25">
      <c r="I140" s="367"/>
      <c r="J140" s="367"/>
    </row>
    <row r="141" spans="9:10" x14ac:dyDescent="0.25">
      <c r="I141" s="367"/>
      <c r="J141" s="367"/>
    </row>
    <row r="142" spans="9:10" x14ac:dyDescent="0.25">
      <c r="I142" s="367"/>
      <c r="J142" s="367"/>
    </row>
    <row r="143" spans="9:10" x14ac:dyDescent="0.25">
      <c r="I143" s="367"/>
      <c r="J143" s="367"/>
    </row>
    <row r="144" spans="9:10" x14ac:dyDescent="0.25">
      <c r="I144" s="367"/>
      <c r="J144" s="367"/>
    </row>
    <row r="145" spans="9:10" x14ac:dyDescent="0.25">
      <c r="I145" s="367"/>
      <c r="J145" s="367"/>
    </row>
    <row r="146" spans="9:10" x14ac:dyDescent="0.25">
      <c r="I146" s="367"/>
      <c r="J146" s="367"/>
    </row>
    <row r="147" spans="9:10" x14ac:dyDescent="0.25">
      <c r="I147" s="367"/>
      <c r="J147" s="367"/>
    </row>
    <row r="148" spans="9:10" x14ac:dyDescent="0.25">
      <c r="I148" s="367"/>
      <c r="J148" s="367"/>
    </row>
    <row r="149" spans="9:10" x14ac:dyDescent="0.25">
      <c r="I149" s="367"/>
      <c r="J149" s="367"/>
    </row>
    <row r="150" spans="9:10" x14ac:dyDescent="0.25">
      <c r="I150" s="367"/>
      <c r="J150" s="367"/>
    </row>
    <row r="151" spans="9:10" x14ac:dyDescent="0.25">
      <c r="I151" s="367"/>
      <c r="J151" s="367"/>
    </row>
    <row r="152" spans="9:10" x14ac:dyDescent="0.25">
      <c r="I152" s="367"/>
      <c r="J152" s="367"/>
    </row>
    <row r="153" spans="9:10" x14ac:dyDescent="0.25">
      <c r="I153" s="367"/>
      <c r="J153" s="367"/>
    </row>
    <row r="154" spans="9:10" x14ac:dyDescent="0.25">
      <c r="I154" s="367"/>
      <c r="J154" s="367"/>
    </row>
    <row r="155" spans="9:10" x14ac:dyDescent="0.25">
      <c r="I155" s="367"/>
      <c r="J155" s="367"/>
    </row>
    <row r="156" spans="9:10" x14ac:dyDescent="0.25">
      <c r="I156" s="367"/>
      <c r="J156" s="367"/>
    </row>
    <row r="157" spans="9:10" x14ac:dyDescent="0.25">
      <c r="I157" s="367"/>
      <c r="J157" s="367"/>
    </row>
    <row r="158" spans="9:10" x14ac:dyDescent="0.25">
      <c r="I158" s="367"/>
      <c r="J158" s="367"/>
    </row>
    <row r="159" spans="9:10" x14ac:dyDescent="0.25">
      <c r="I159" s="367"/>
      <c r="J159" s="367"/>
    </row>
    <row r="160" spans="9:10" x14ac:dyDescent="0.25">
      <c r="I160" s="367"/>
      <c r="J160" s="367"/>
    </row>
    <row r="161" spans="9:10" x14ac:dyDescent="0.25">
      <c r="I161" s="367"/>
      <c r="J161" s="367"/>
    </row>
    <row r="162" spans="9:10" x14ac:dyDescent="0.25">
      <c r="I162" s="367"/>
      <c r="J162" s="367"/>
    </row>
    <row r="163" spans="9:10" x14ac:dyDescent="0.25">
      <c r="I163" s="367"/>
      <c r="J163" s="367"/>
    </row>
    <row r="164" spans="9:10" x14ac:dyDescent="0.25">
      <c r="I164" s="367"/>
      <c r="J164" s="367"/>
    </row>
    <row r="165" spans="9:10" x14ac:dyDescent="0.25">
      <c r="I165" s="367"/>
      <c r="J165" s="367"/>
    </row>
    <row r="166" spans="9:10" x14ac:dyDescent="0.25">
      <c r="I166" s="367"/>
      <c r="J166" s="367"/>
    </row>
    <row r="167" spans="9:10" x14ac:dyDescent="0.25">
      <c r="I167" s="367"/>
      <c r="J167" s="367"/>
    </row>
    <row r="168" spans="9:10" x14ac:dyDescent="0.25">
      <c r="I168" s="367"/>
      <c r="J168" s="367"/>
    </row>
    <row r="169" spans="9:10" x14ac:dyDescent="0.25">
      <c r="I169" s="367"/>
      <c r="J169" s="367"/>
    </row>
    <row r="170" spans="9:10" x14ac:dyDescent="0.25">
      <c r="I170" s="367"/>
      <c r="J170" s="367"/>
    </row>
    <row r="171" spans="9:10" x14ac:dyDescent="0.25">
      <c r="I171" s="367"/>
      <c r="J171" s="367"/>
    </row>
    <row r="172" spans="9:10" x14ac:dyDescent="0.25">
      <c r="I172" s="367"/>
      <c r="J172" s="367"/>
    </row>
    <row r="173" spans="9:10" x14ac:dyDescent="0.25">
      <c r="I173" s="367"/>
      <c r="J173" s="367"/>
    </row>
    <row r="174" spans="9:10" x14ac:dyDescent="0.25">
      <c r="I174" s="367"/>
      <c r="J174" s="367"/>
    </row>
    <row r="175" spans="9:10" x14ac:dyDescent="0.25">
      <c r="I175" s="367"/>
      <c r="J175" s="367"/>
    </row>
    <row r="176" spans="9:10" x14ac:dyDescent="0.25">
      <c r="I176" s="367"/>
      <c r="J176" s="367"/>
    </row>
    <row r="177" spans="9:10" x14ac:dyDescent="0.25">
      <c r="I177" s="367"/>
      <c r="J177" s="367"/>
    </row>
    <row r="178" spans="9:10" x14ac:dyDescent="0.25">
      <c r="I178" s="367"/>
      <c r="J178" s="367"/>
    </row>
    <row r="179" spans="9:10" x14ac:dyDescent="0.25">
      <c r="I179" s="367"/>
      <c r="J179" s="367"/>
    </row>
    <row r="180" spans="9:10" x14ac:dyDescent="0.25">
      <c r="I180" s="367"/>
      <c r="J180" s="367"/>
    </row>
    <row r="181" spans="9:10" x14ac:dyDescent="0.25">
      <c r="I181" s="367"/>
      <c r="J181" s="367"/>
    </row>
    <row r="182" spans="9:10" x14ac:dyDescent="0.25">
      <c r="I182" s="367"/>
      <c r="J182" s="367"/>
    </row>
    <row r="183" spans="9:10" x14ac:dyDescent="0.25">
      <c r="I183" s="367"/>
      <c r="J183" s="367"/>
    </row>
    <row r="184" spans="9:10" x14ac:dyDescent="0.25">
      <c r="I184" s="367"/>
      <c r="J184" s="367"/>
    </row>
    <row r="185" spans="9:10" x14ac:dyDescent="0.25">
      <c r="I185" s="367"/>
      <c r="J185" s="367"/>
    </row>
    <row r="186" spans="9:10" x14ac:dyDescent="0.25">
      <c r="I186" s="367"/>
      <c r="J186" s="367"/>
    </row>
    <row r="187" spans="9:10" x14ac:dyDescent="0.25">
      <c r="I187" s="367"/>
      <c r="J187" s="367"/>
    </row>
    <row r="188" spans="9:10" x14ac:dyDescent="0.25">
      <c r="I188" s="367"/>
      <c r="J188" s="367"/>
    </row>
    <row r="189" spans="9:10" x14ac:dyDescent="0.25">
      <c r="I189" s="367"/>
      <c r="J189" s="367"/>
    </row>
    <row r="190" spans="9:10" x14ac:dyDescent="0.25">
      <c r="I190" s="367"/>
      <c r="J190" s="367"/>
    </row>
    <row r="191" spans="9:10" x14ac:dyDescent="0.25">
      <c r="I191" s="367"/>
      <c r="J191" s="367"/>
    </row>
    <row r="192" spans="9:10" x14ac:dyDescent="0.25">
      <c r="I192" s="367"/>
      <c r="J192" s="367"/>
    </row>
    <row r="193" spans="9:10" x14ac:dyDescent="0.25">
      <c r="I193" s="367"/>
      <c r="J193" s="367"/>
    </row>
    <row r="194" spans="9:10" x14ac:dyDescent="0.25">
      <c r="I194" s="367"/>
      <c r="J194" s="367"/>
    </row>
    <row r="195" spans="9:10" x14ac:dyDescent="0.25">
      <c r="I195" s="367"/>
      <c r="J195" s="367"/>
    </row>
    <row r="196" spans="9:10" x14ac:dyDescent="0.25">
      <c r="I196" s="367"/>
      <c r="J196" s="367"/>
    </row>
    <row r="197" spans="9:10" x14ac:dyDescent="0.25">
      <c r="I197" s="367"/>
      <c r="J197" s="367"/>
    </row>
    <row r="198" spans="9:10" x14ac:dyDescent="0.25">
      <c r="I198" s="367"/>
      <c r="J198" s="367"/>
    </row>
    <row r="199" spans="9:10" x14ac:dyDescent="0.25">
      <c r="I199" s="367"/>
      <c r="J199" s="367"/>
    </row>
    <row r="200" spans="9:10" x14ac:dyDescent="0.25">
      <c r="I200" s="367"/>
      <c r="J200" s="367"/>
    </row>
    <row r="201" spans="9:10" x14ac:dyDescent="0.25">
      <c r="I201" s="367"/>
      <c r="J201" s="367"/>
    </row>
    <row r="202" spans="9:10" x14ac:dyDescent="0.25">
      <c r="I202" s="367"/>
      <c r="J202" s="367"/>
    </row>
    <row r="203" spans="9:10" x14ac:dyDescent="0.25">
      <c r="I203" s="367"/>
      <c r="J203" s="367"/>
    </row>
    <row r="204" spans="9:10" x14ac:dyDescent="0.25">
      <c r="I204" s="367"/>
      <c r="J204" s="367"/>
    </row>
    <row r="205" spans="9:10" x14ac:dyDescent="0.25">
      <c r="I205" s="367"/>
      <c r="J205" s="367"/>
    </row>
    <row r="206" spans="9:10" x14ac:dyDescent="0.25">
      <c r="I206" s="367"/>
      <c r="J206" s="367"/>
    </row>
    <row r="207" spans="9:10" x14ac:dyDescent="0.25">
      <c r="I207" s="367"/>
      <c r="J207" s="367"/>
    </row>
    <row r="208" spans="9:10" x14ac:dyDescent="0.25">
      <c r="I208" s="367"/>
      <c r="J208" s="367"/>
    </row>
    <row r="209" spans="9:10" x14ac:dyDescent="0.25">
      <c r="I209" s="367"/>
      <c r="J209" s="367"/>
    </row>
    <row r="210" spans="9:10" x14ac:dyDescent="0.25">
      <c r="I210" s="367"/>
      <c r="J210" s="367"/>
    </row>
    <row r="211" spans="9:10" x14ac:dyDescent="0.25">
      <c r="I211" s="367"/>
      <c r="J211" s="367"/>
    </row>
    <row r="212" spans="9:10" x14ac:dyDescent="0.25">
      <c r="I212" s="367"/>
      <c r="J212" s="367"/>
    </row>
    <row r="213" spans="9:10" x14ac:dyDescent="0.25">
      <c r="I213" s="367"/>
      <c r="J213" s="367"/>
    </row>
    <row r="214" spans="9:10" x14ac:dyDescent="0.25">
      <c r="I214" s="367"/>
      <c r="J214" s="367"/>
    </row>
    <row r="215" spans="9:10" x14ac:dyDescent="0.25">
      <c r="I215" s="367"/>
      <c r="J215" s="367"/>
    </row>
    <row r="216" spans="9:10" x14ac:dyDescent="0.25">
      <c r="I216" s="367"/>
      <c r="J216" s="367"/>
    </row>
    <row r="217" spans="9:10" x14ac:dyDescent="0.25">
      <c r="I217" s="367"/>
      <c r="J217" s="367"/>
    </row>
    <row r="218" spans="9:10" x14ac:dyDescent="0.25">
      <c r="I218" s="367"/>
      <c r="J218" s="367"/>
    </row>
    <row r="219" spans="9:10" x14ac:dyDescent="0.25">
      <c r="I219" s="367"/>
      <c r="J219" s="367"/>
    </row>
    <row r="220" spans="9:10" x14ac:dyDescent="0.25">
      <c r="I220" s="367"/>
      <c r="J220" s="367"/>
    </row>
    <row r="221" spans="9:10" x14ac:dyDescent="0.25">
      <c r="I221" s="367"/>
      <c r="J221" s="367"/>
    </row>
    <row r="222" spans="9:10" x14ac:dyDescent="0.25">
      <c r="I222" s="367"/>
      <c r="J222" s="367"/>
    </row>
    <row r="223" spans="9:10" x14ac:dyDescent="0.25">
      <c r="I223" s="367"/>
      <c r="J223" s="367"/>
    </row>
    <row r="224" spans="9:10" x14ac:dyDescent="0.25">
      <c r="I224" s="367"/>
      <c r="J224" s="367"/>
    </row>
    <row r="225" spans="9:10" x14ac:dyDescent="0.25">
      <c r="I225" s="367"/>
      <c r="J225" s="367"/>
    </row>
    <row r="226" spans="9:10" x14ac:dyDescent="0.25">
      <c r="I226" s="367"/>
      <c r="J226" s="367"/>
    </row>
    <row r="227" spans="9:10" x14ac:dyDescent="0.25">
      <c r="I227" s="367"/>
      <c r="J227" s="367"/>
    </row>
    <row r="228" spans="9:10" x14ac:dyDescent="0.25">
      <c r="I228" s="367"/>
      <c r="J228" s="367"/>
    </row>
    <row r="229" spans="9:10" x14ac:dyDescent="0.25">
      <c r="I229" s="367"/>
      <c r="J229" s="367"/>
    </row>
    <row r="230" spans="9:10" x14ac:dyDescent="0.25">
      <c r="I230" s="367"/>
      <c r="J230" s="367"/>
    </row>
    <row r="231" spans="9:10" x14ac:dyDescent="0.25">
      <c r="I231" s="367"/>
      <c r="J231" s="367"/>
    </row>
    <row r="232" spans="9:10" x14ac:dyDescent="0.25">
      <c r="I232" s="367"/>
      <c r="J232" s="367"/>
    </row>
    <row r="233" spans="9:10" x14ac:dyDescent="0.25">
      <c r="I233" s="367"/>
      <c r="J233" s="367"/>
    </row>
    <row r="234" spans="9:10" x14ac:dyDescent="0.25">
      <c r="I234" s="367"/>
      <c r="J234" s="367"/>
    </row>
    <row r="235" spans="9:10" x14ac:dyDescent="0.25">
      <c r="I235" s="367"/>
      <c r="J235" s="367"/>
    </row>
    <row r="236" spans="9:10" x14ac:dyDescent="0.25">
      <c r="I236" s="367"/>
      <c r="J236" s="367"/>
    </row>
    <row r="237" spans="9:10" x14ac:dyDescent="0.25">
      <c r="I237" s="367"/>
      <c r="J237" s="367"/>
    </row>
    <row r="238" spans="9:10" x14ac:dyDescent="0.25">
      <c r="I238" s="367"/>
      <c r="J238" s="367"/>
    </row>
    <row r="239" spans="9:10" x14ac:dyDescent="0.25">
      <c r="I239" s="367"/>
      <c r="J239" s="367"/>
    </row>
    <row r="240" spans="9:10" x14ac:dyDescent="0.25">
      <c r="I240" s="367"/>
      <c r="J240" s="367"/>
    </row>
    <row r="241" spans="9:10" x14ac:dyDescent="0.25">
      <c r="I241" s="367"/>
      <c r="J241" s="367"/>
    </row>
    <row r="242" spans="9:10" x14ac:dyDescent="0.25">
      <c r="I242" s="367"/>
      <c r="J242" s="367"/>
    </row>
    <row r="243" spans="9:10" x14ac:dyDescent="0.25">
      <c r="I243" s="367"/>
      <c r="J243" s="367"/>
    </row>
    <row r="244" spans="9:10" x14ac:dyDescent="0.25">
      <c r="I244" s="367"/>
      <c r="J244" s="367"/>
    </row>
    <row r="245" spans="9:10" x14ac:dyDescent="0.25">
      <c r="I245" s="367"/>
      <c r="J245" s="367"/>
    </row>
    <row r="246" spans="9:10" x14ac:dyDescent="0.25">
      <c r="I246" s="367"/>
      <c r="J246" s="367"/>
    </row>
    <row r="247" spans="9:10" x14ac:dyDescent="0.25">
      <c r="I247" s="367"/>
      <c r="J247" s="367"/>
    </row>
    <row r="248" spans="9:10" x14ac:dyDescent="0.25">
      <c r="I248" s="367"/>
      <c r="J248" s="367"/>
    </row>
    <row r="249" spans="9:10" x14ac:dyDescent="0.25">
      <c r="I249" s="367"/>
      <c r="J249" s="367"/>
    </row>
    <row r="250" spans="9:10" x14ac:dyDescent="0.25">
      <c r="I250" s="367"/>
      <c r="J250" s="367"/>
    </row>
    <row r="251" spans="9:10" x14ac:dyDescent="0.25">
      <c r="I251" s="367"/>
      <c r="J251" s="367"/>
    </row>
    <row r="252" spans="9:10" x14ac:dyDescent="0.25">
      <c r="I252" s="367"/>
      <c r="J252" s="367"/>
    </row>
    <row r="253" spans="9:10" x14ac:dyDescent="0.25">
      <c r="I253" s="367"/>
      <c r="J253" s="367"/>
    </row>
    <row r="254" spans="9:10" x14ac:dyDescent="0.25">
      <c r="I254" s="367"/>
      <c r="J254" s="367"/>
    </row>
    <row r="255" spans="9:10" x14ac:dyDescent="0.25">
      <c r="I255" s="367"/>
      <c r="J255" s="367"/>
    </row>
    <row r="256" spans="9:10" x14ac:dyDescent="0.25">
      <c r="I256" s="367"/>
      <c r="J256" s="367"/>
    </row>
    <row r="257" spans="9:10" x14ac:dyDescent="0.25">
      <c r="I257" s="367"/>
      <c r="J257" s="367"/>
    </row>
    <row r="258" spans="9:10" x14ac:dyDescent="0.25">
      <c r="I258" s="367"/>
      <c r="J258" s="367"/>
    </row>
    <row r="259" spans="9:10" x14ac:dyDescent="0.25">
      <c r="I259" s="367"/>
      <c r="J259" s="367"/>
    </row>
    <row r="260" spans="9:10" x14ac:dyDescent="0.25">
      <c r="I260" s="367"/>
      <c r="J260" s="367"/>
    </row>
    <row r="261" spans="9:10" x14ac:dyDescent="0.25">
      <c r="I261" s="367"/>
      <c r="J261" s="367"/>
    </row>
    <row r="262" spans="9:10" x14ac:dyDescent="0.25">
      <c r="I262" s="367"/>
      <c r="J262" s="367"/>
    </row>
    <row r="263" spans="9:10" x14ac:dyDescent="0.25">
      <c r="I263" s="367"/>
      <c r="J263" s="367"/>
    </row>
    <row r="264" spans="9:10" x14ac:dyDescent="0.25">
      <c r="I264" s="367"/>
      <c r="J264" s="367"/>
    </row>
    <row r="265" spans="9:10" x14ac:dyDescent="0.25">
      <c r="I265" s="367"/>
      <c r="J265" s="367"/>
    </row>
    <row r="266" spans="9:10" x14ac:dyDescent="0.25">
      <c r="I266" s="367"/>
      <c r="J266" s="367"/>
    </row>
    <row r="267" spans="9:10" x14ac:dyDescent="0.25">
      <c r="I267" s="367"/>
      <c r="J267" s="367"/>
    </row>
    <row r="268" spans="9:10" x14ac:dyDescent="0.25">
      <c r="I268" s="367"/>
      <c r="J268" s="367"/>
    </row>
    <row r="269" spans="9:10" x14ac:dyDescent="0.25">
      <c r="I269" s="367"/>
      <c r="J269" s="367"/>
    </row>
    <row r="270" spans="9:10" x14ac:dyDescent="0.25">
      <c r="I270" s="367"/>
      <c r="J270" s="367"/>
    </row>
    <row r="271" spans="9:10" x14ac:dyDescent="0.25">
      <c r="I271" s="367"/>
      <c r="J271" s="367"/>
    </row>
    <row r="272" spans="9:10" x14ac:dyDescent="0.25">
      <c r="I272" s="367"/>
      <c r="J272" s="367"/>
    </row>
    <row r="273" spans="9:10" x14ac:dyDescent="0.25">
      <c r="I273" s="367"/>
      <c r="J273" s="367"/>
    </row>
    <row r="274" spans="9:10" x14ac:dyDescent="0.25">
      <c r="I274" s="367"/>
      <c r="J274" s="367"/>
    </row>
    <row r="275" spans="9:10" x14ac:dyDescent="0.25">
      <c r="I275" s="367"/>
      <c r="J275" s="367"/>
    </row>
    <row r="276" spans="9:10" x14ac:dyDescent="0.25">
      <c r="I276" s="367"/>
      <c r="J276" s="367"/>
    </row>
    <row r="277" spans="9:10" x14ac:dyDescent="0.25">
      <c r="I277" s="367"/>
      <c r="J277" s="367"/>
    </row>
    <row r="278" spans="9:10" x14ac:dyDescent="0.25">
      <c r="I278" s="367"/>
      <c r="J278" s="367"/>
    </row>
    <row r="279" spans="9:10" x14ac:dyDescent="0.25">
      <c r="I279" s="367"/>
      <c r="J279" s="367"/>
    </row>
    <row r="280" spans="9:10" x14ac:dyDescent="0.25">
      <c r="I280" s="367"/>
      <c r="J280" s="367"/>
    </row>
    <row r="281" spans="9:10" x14ac:dyDescent="0.25">
      <c r="I281" s="367"/>
      <c r="J281" s="367"/>
    </row>
    <row r="282" spans="9:10" x14ac:dyDescent="0.25">
      <c r="I282" s="367"/>
      <c r="J282" s="367"/>
    </row>
    <row r="283" spans="9:10" x14ac:dyDescent="0.25">
      <c r="I283" s="367"/>
      <c r="J283" s="367"/>
    </row>
    <row r="284" spans="9:10" x14ac:dyDescent="0.25">
      <c r="I284" s="367"/>
      <c r="J284" s="367"/>
    </row>
    <row r="285" spans="9:10" x14ac:dyDescent="0.25">
      <c r="I285" s="367"/>
      <c r="J285" s="367"/>
    </row>
    <row r="286" spans="9:10" x14ac:dyDescent="0.25">
      <c r="I286" s="367"/>
      <c r="J286" s="367"/>
    </row>
    <row r="287" spans="9:10" x14ac:dyDescent="0.25">
      <c r="I287" s="367"/>
      <c r="J287" s="367"/>
    </row>
    <row r="288" spans="9:10" x14ac:dyDescent="0.25">
      <c r="I288" s="367"/>
      <c r="J288" s="367"/>
    </row>
    <row r="289" spans="9:10" x14ac:dyDescent="0.25">
      <c r="I289" s="367"/>
      <c r="J289" s="367"/>
    </row>
    <row r="290" spans="9:10" x14ac:dyDescent="0.25">
      <c r="I290" s="367"/>
      <c r="J290" s="367"/>
    </row>
    <row r="291" spans="9:10" x14ac:dyDescent="0.25">
      <c r="I291" s="367"/>
      <c r="J291" s="367"/>
    </row>
    <row r="292" spans="9:10" x14ac:dyDescent="0.25">
      <c r="I292" s="367"/>
      <c r="J292" s="367"/>
    </row>
    <row r="293" spans="9:10" x14ac:dyDescent="0.25">
      <c r="I293" s="367"/>
      <c r="J293" s="367"/>
    </row>
    <row r="294" spans="9:10" x14ac:dyDescent="0.25">
      <c r="I294" s="367"/>
      <c r="J294" s="367"/>
    </row>
    <row r="295" spans="9:10" x14ac:dyDescent="0.25">
      <c r="I295" s="367"/>
      <c r="J295" s="367"/>
    </row>
    <row r="296" spans="9:10" x14ac:dyDescent="0.25">
      <c r="I296" s="367"/>
      <c r="J296" s="367"/>
    </row>
    <row r="297" spans="9:10" x14ac:dyDescent="0.25">
      <c r="I297" s="367"/>
      <c r="J297" s="367"/>
    </row>
    <row r="298" spans="9:10" x14ac:dyDescent="0.25">
      <c r="I298" s="367"/>
      <c r="J298" s="367"/>
    </row>
    <row r="299" spans="9:10" x14ac:dyDescent="0.25">
      <c r="I299" s="367"/>
      <c r="J299" s="367"/>
    </row>
    <row r="300" spans="9:10" x14ac:dyDescent="0.25">
      <c r="I300" s="367"/>
      <c r="J300" s="367"/>
    </row>
    <row r="301" spans="9:10" x14ac:dyDescent="0.25">
      <c r="I301" s="367"/>
      <c r="J301" s="367"/>
    </row>
    <row r="302" spans="9:10" x14ac:dyDescent="0.25">
      <c r="I302" s="367"/>
      <c r="J302" s="367"/>
    </row>
    <row r="303" spans="9:10" x14ac:dyDescent="0.25">
      <c r="I303" s="367"/>
      <c r="J303" s="367"/>
    </row>
    <row r="304" spans="9:10" x14ac:dyDescent="0.25">
      <c r="I304" s="367"/>
      <c r="J304" s="367"/>
    </row>
    <row r="305" spans="9:10" x14ac:dyDescent="0.25">
      <c r="I305" s="367"/>
      <c r="J305" s="367"/>
    </row>
    <row r="306" spans="9:10" x14ac:dyDescent="0.25">
      <c r="I306" s="367"/>
      <c r="J306" s="367"/>
    </row>
    <row r="307" spans="9:10" x14ac:dyDescent="0.25">
      <c r="I307" s="367"/>
      <c r="J307" s="367"/>
    </row>
    <row r="308" spans="9:10" x14ac:dyDescent="0.25">
      <c r="I308" s="367"/>
      <c r="J308" s="367"/>
    </row>
    <row r="309" spans="9:10" x14ac:dyDescent="0.25">
      <c r="I309" s="367"/>
      <c r="J309" s="367"/>
    </row>
    <row r="310" spans="9:10" x14ac:dyDescent="0.25">
      <c r="I310" s="367"/>
      <c r="J310" s="367"/>
    </row>
    <row r="311" spans="9:10" x14ac:dyDescent="0.25">
      <c r="I311" s="367"/>
      <c r="J311" s="367"/>
    </row>
    <row r="312" spans="9:10" x14ac:dyDescent="0.25">
      <c r="I312" s="367"/>
      <c r="J312" s="367"/>
    </row>
    <row r="313" spans="9:10" x14ac:dyDescent="0.25">
      <c r="I313" s="367"/>
      <c r="J313" s="367"/>
    </row>
    <row r="314" spans="9:10" x14ac:dyDescent="0.25">
      <c r="I314" s="367"/>
      <c r="J314" s="367"/>
    </row>
    <row r="315" spans="9:10" x14ac:dyDescent="0.25">
      <c r="I315" s="367"/>
      <c r="J315" s="367"/>
    </row>
    <row r="316" spans="9:10" x14ac:dyDescent="0.25">
      <c r="I316" s="367"/>
      <c r="J316" s="367"/>
    </row>
    <row r="317" spans="9:10" x14ac:dyDescent="0.25">
      <c r="I317" s="367"/>
      <c r="J317" s="367"/>
    </row>
    <row r="318" spans="9:10" x14ac:dyDescent="0.25">
      <c r="I318" s="367"/>
      <c r="J318" s="367"/>
    </row>
    <row r="319" spans="9:10" x14ac:dyDescent="0.25">
      <c r="I319" s="367"/>
      <c r="J319" s="367"/>
    </row>
    <row r="320" spans="9:10" x14ac:dyDescent="0.25">
      <c r="I320" s="367"/>
      <c r="J320" s="367"/>
    </row>
    <row r="321" spans="9:10" x14ac:dyDescent="0.25">
      <c r="I321" s="367"/>
      <c r="J321" s="367"/>
    </row>
    <row r="322" spans="9:10" x14ac:dyDescent="0.25">
      <c r="I322" s="367"/>
      <c r="J322" s="367"/>
    </row>
    <row r="323" spans="9:10" x14ac:dyDescent="0.25">
      <c r="I323" s="367"/>
      <c r="J323" s="367"/>
    </row>
    <row r="324" spans="9:10" x14ac:dyDescent="0.25">
      <c r="I324" s="367"/>
      <c r="J324" s="367"/>
    </row>
    <row r="325" spans="9:10" x14ac:dyDescent="0.25">
      <c r="I325" s="367"/>
      <c r="J325" s="367"/>
    </row>
    <row r="326" spans="9:10" x14ac:dyDescent="0.25">
      <c r="I326" s="367"/>
      <c r="J326" s="367"/>
    </row>
    <row r="327" spans="9:10" x14ac:dyDescent="0.25">
      <c r="I327" s="367"/>
      <c r="J327" s="367"/>
    </row>
    <row r="328" spans="9:10" x14ac:dyDescent="0.25">
      <c r="I328" s="367"/>
      <c r="J328" s="367"/>
    </row>
    <row r="329" spans="9:10" x14ac:dyDescent="0.25">
      <c r="I329" s="367"/>
      <c r="J329" s="367"/>
    </row>
    <row r="330" spans="9:10" x14ac:dyDescent="0.25">
      <c r="I330" s="367"/>
      <c r="J330" s="367"/>
    </row>
    <row r="331" spans="9:10" x14ac:dyDescent="0.25">
      <c r="I331" s="367"/>
      <c r="J331" s="367"/>
    </row>
    <row r="332" spans="9:10" x14ac:dyDescent="0.25">
      <c r="I332" s="367"/>
      <c r="J332" s="367"/>
    </row>
    <row r="333" spans="9:10" x14ac:dyDescent="0.25">
      <c r="I333" s="367"/>
      <c r="J333" s="367"/>
    </row>
    <row r="334" spans="9:10" x14ac:dyDescent="0.25">
      <c r="I334" s="367"/>
      <c r="J334" s="367"/>
    </row>
    <row r="335" spans="9:10" x14ac:dyDescent="0.25">
      <c r="I335" s="367"/>
      <c r="J335" s="367"/>
    </row>
    <row r="336" spans="9:10" x14ac:dyDescent="0.25">
      <c r="I336" s="367"/>
      <c r="J336" s="367"/>
    </row>
    <row r="337" spans="9:10" x14ac:dyDescent="0.25">
      <c r="I337" s="367"/>
      <c r="J337" s="367"/>
    </row>
    <row r="338" spans="9:10" x14ac:dyDescent="0.25">
      <c r="I338" s="367"/>
      <c r="J338" s="367"/>
    </row>
    <row r="339" spans="9:10" x14ac:dyDescent="0.25">
      <c r="I339" s="367"/>
      <c r="J339" s="367"/>
    </row>
    <row r="340" spans="9:10" x14ac:dyDescent="0.25">
      <c r="I340" s="367"/>
      <c r="J340" s="367"/>
    </row>
    <row r="341" spans="9:10" x14ac:dyDescent="0.25">
      <c r="I341" s="367"/>
      <c r="J341" s="367"/>
    </row>
    <row r="342" spans="9:10" x14ac:dyDescent="0.25">
      <c r="I342" s="367"/>
      <c r="J342" s="367"/>
    </row>
    <row r="343" spans="9:10" x14ac:dyDescent="0.25">
      <c r="I343" s="367"/>
      <c r="J343" s="367"/>
    </row>
    <row r="344" spans="9:10" x14ac:dyDescent="0.25">
      <c r="I344" s="367"/>
      <c r="J344" s="367"/>
    </row>
    <row r="345" spans="9:10" x14ac:dyDescent="0.25">
      <c r="I345" s="367"/>
      <c r="J345" s="367"/>
    </row>
    <row r="346" spans="9:10" x14ac:dyDescent="0.25">
      <c r="I346" s="367"/>
      <c r="J346" s="367"/>
    </row>
    <row r="347" spans="9:10" x14ac:dyDescent="0.25">
      <c r="I347" s="367"/>
      <c r="J347" s="367"/>
    </row>
    <row r="348" spans="9:10" x14ac:dyDescent="0.25">
      <c r="I348" s="367"/>
      <c r="J348" s="367"/>
    </row>
    <row r="349" spans="9:10" x14ac:dyDescent="0.25">
      <c r="I349" s="367"/>
      <c r="J349" s="367"/>
    </row>
    <row r="350" spans="9:10" x14ac:dyDescent="0.25">
      <c r="I350" s="367"/>
      <c r="J350" s="367"/>
    </row>
    <row r="351" spans="9:10" x14ac:dyDescent="0.25">
      <c r="I351" s="367"/>
      <c r="J351" s="367"/>
    </row>
    <row r="352" spans="9:10" x14ac:dyDescent="0.25">
      <c r="I352" s="367"/>
      <c r="J352" s="367"/>
    </row>
    <row r="353" spans="9:10" x14ac:dyDescent="0.25">
      <c r="I353" s="367"/>
      <c r="J353" s="367"/>
    </row>
    <row r="354" spans="9:10" x14ac:dyDescent="0.25">
      <c r="I354" s="367"/>
      <c r="J354" s="367"/>
    </row>
    <row r="355" spans="9:10" x14ac:dyDescent="0.25">
      <c r="I355" s="367"/>
      <c r="J355" s="367"/>
    </row>
    <row r="356" spans="9:10" x14ac:dyDescent="0.25">
      <c r="I356" s="367"/>
      <c r="J356" s="367"/>
    </row>
    <row r="357" spans="9:10" x14ac:dyDescent="0.25">
      <c r="I357" s="367"/>
      <c r="J357" s="367"/>
    </row>
    <row r="358" spans="9:10" x14ac:dyDescent="0.25">
      <c r="I358" s="367"/>
      <c r="J358" s="367"/>
    </row>
    <row r="359" spans="9:10" x14ac:dyDescent="0.25">
      <c r="I359" s="367"/>
      <c r="J359" s="367"/>
    </row>
    <row r="360" spans="9:10" x14ac:dyDescent="0.25">
      <c r="I360" s="367"/>
      <c r="J360" s="367"/>
    </row>
    <row r="361" spans="9:10" x14ac:dyDescent="0.25">
      <c r="I361" s="367"/>
      <c r="J361" s="367"/>
    </row>
    <row r="362" spans="9:10" x14ac:dyDescent="0.25">
      <c r="I362" s="367"/>
      <c r="J362" s="367"/>
    </row>
    <row r="363" spans="9:10" x14ac:dyDescent="0.25">
      <c r="I363" s="367"/>
      <c r="J363" s="367"/>
    </row>
    <row r="364" spans="9:10" x14ac:dyDescent="0.25">
      <c r="I364" s="367"/>
      <c r="J364" s="367"/>
    </row>
    <row r="365" spans="9:10" x14ac:dyDescent="0.25">
      <c r="I365" s="367"/>
      <c r="J365" s="367"/>
    </row>
    <row r="366" spans="9:10" x14ac:dyDescent="0.25">
      <c r="I366" s="367"/>
      <c r="J366" s="367"/>
    </row>
    <row r="367" spans="9:10" x14ac:dyDescent="0.25">
      <c r="I367" s="367"/>
      <c r="J367" s="367"/>
    </row>
    <row r="368" spans="9:10" x14ac:dyDescent="0.25">
      <c r="I368" s="367"/>
      <c r="J368" s="367"/>
    </row>
    <row r="369" spans="9:10" x14ac:dyDescent="0.25">
      <c r="I369" s="367"/>
      <c r="J369" s="367"/>
    </row>
    <row r="370" spans="9:10" x14ac:dyDescent="0.25">
      <c r="I370" s="367"/>
      <c r="J370" s="367"/>
    </row>
    <row r="371" spans="9:10" x14ac:dyDescent="0.25">
      <c r="I371" s="367"/>
      <c r="J371" s="367"/>
    </row>
    <row r="372" spans="9:10" x14ac:dyDescent="0.25">
      <c r="I372" s="367"/>
      <c r="J372" s="367"/>
    </row>
    <row r="373" spans="9:10" x14ac:dyDescent="0.25">
      <c r="I373" s="367"/>
      <c r="J373" s="367"/>
    </row>
    <row r="374" spans="9:10" x14ac:dyDescent="0.25">
      <c r="I374" s="367"/>
      <c r="J374" s="367"/>
    </row>
    <row r="375" spans="9:10" x14ac:dyDescent="0.25">
      <c r="I375" s="367"/>
      <c r="J375" s="367"/>
    </row>
    <row r="376" spans="9:10" x14ac:dyDescent="0.25">
      <c r="I376" s="367"/>
      <c r="J376" s="367"/>
    </row>
    <row r="377" spans="9:10" x14ac:dyDescent="0.25">
      <c r="I377" s="367"/>
      <c r="J377" s="367"/>
    </row>
    <row r="378" spans="9:10" x14ac:dyDescent="0.25">
      <c r="I378" s="367"/>
      <c r="J378" s="367"/>
    </row>
    <row r="379" spans="9:10" x14ac:dyDescent="0.25">
      <c r="I379" s="367"/>
      <c r="J379" s="367"/>
    </row>
    <row r="380" spans="9:10" x14ac:dyDescent="0.25">
      <c r="I380" s="367"/>
      <c r="J380" s="367"/>
    </row>
    <row r="381" spans="9:10" x14ac:dyDescent="0.25">
      <c r="I381" s="367"/>
      <c r="J381" s="367"/>
    </row>
    <row r="382" spans="9:10" x14ac:dyDescent="0.25">
      <c r="I382" s="367"/>
      <c r="J382" s="367"/>
    </row>
    <row r="383" spans="9:10" x14ac:dyDescent="0.25">
      <c r="I383" s="367"/>
      <c r="J383" s="367"/>
    </row>
    <row r="384" spans="9:10" x14ac:dyDescent="0.25">
      <c r="I384" s="367"/>
      <c r="J384" s="367"/>
    </row>
    <row r="385" spans="9:10" x14ac:dyDescent="0.25">
      <c r="I385" s="367"/>
      <c r="J385" s="367"/>
    </row>
    <row r="386" spans="9:10" x14ac:dyDescent="0.25">
      <c r="I386" s="367"/>
      <c r="J386" s="367"/>
    </row>
    <row r="387" spans="9:10" x14ac:dyDescent="0.25">
      <c r="I387" s="367"/>
      <c r="J387" s="367"/>
    </row>
    <row r="388" spans="9:10" x14ac:dyDescent="0.25">
      <c r="I388" s="367"/>
      <c r="J388" s="367"/>
    </row>
    <row r="389" spans="9:10" x14ac:dyDescent="0.25">
      <c r="I389" s="367"/>
      <c r="J389" s="367"/>
    </row>
    <row r="390" spans="9:10" x14ac:dyDescent="0.25">
      <c r="I390" s="367"/>
      <c r="J390" s="367"/>
    </row>
    <row r="391" spans="9:10" x14ac:dyDescent="0.25">
      <c r="I391" s="367"/>
      <c r="J391" s="367"/>
    </row>
    <row r="392" spans="9:10" x14ac:dyDescent="0.25">
      <c r="I392" s="367"/>
      <c r="J392" s="367"/>
    </row>
    <row r="393" spans="9:10" x14ac:dyDescent="0.25">
      <c r="I393" s="367"/>
      <c r="J393" s="367"/>
    </row>
    <row r="394" spans="9:10" x14ac:dyDescent="0.25">
      <c r="I394" s="367"/>
      <c r="J394" s="367"/>
    </row>
    <row r="395" spans="9:10" x14ac:dyDescent="0.25">
      <c r="I395" s="367"/>
      <c r="J395" s="367"/>
    </row>
    <row r="396" spans="9:10" x14ac:dyDescent="0.25">
      <c r="I396" s="367"/>
      <c r="J396" s="367"/>
    </row>
    <row r="397" spans="9:10" x14ac:dyDescent="0.25">
      <c r="I397" s="367"/>
      <c r="J397" s="367"/>
    </row>
    <row r="398" spans="9:10" x14ac:dyDescent="0.25">
      <c r="I398" s="367"/>
      <c r="J398" s="367"/>
    </row>
    <row r="399" spans="9:10" x14ac:dyDescent="0.25">
      <c r="I399" s="367"/>
      <c r="J399" s="367"/>
    </row>
    <row r="400" spans="9:10" x14ac:dyDescent="0.25">
      <c r="I400" s="367"/>
      <c r="J400" s="367"/>
    </row>
    <row r="401" spans="9:10" x14ac:dyDescent="0.25">
      <c r="I401" s="367"/>
      <c r="J401" s="367"/>
    </row>
    <row r="402" spans="9:10" x14ac:dyDescent="0.25">
      <c r="I402" s="367"/>
      <c r="J402" s="367"/>
    </row>
    <row r="403" spans="9:10" x14ac:dyDescent="0.25">
      <c r="I403" s="367"/>
      <c r="J403" s="367"/>
    </row>
    <row r="404" spans="9:10" x14ac:dyDescent="0.25">
      <c r="I404" s="367"/>
      <c r="J404" s="367"/>
    </row>
    <row r="405" spans="9:10" x14ac:dyDescent="0.25">
      <c r="I405" s="367"/>
      <c r="J405" s="367"/>
    </row>
    <row r="406" spans="9:10" x14ac:dyDescent="0.25">
      <c r="I406" s="367"/>
      <c r="J406" s="367"/>
    </row>
    <row r="407" spans="9:10" x14ac:dyDescent="0.25">
      <c r="I407" s="367"/>
      <c r="J407" s="367"/>
    </row>
    <row r="408" spans="9:10" x14ac:dyDescent="0.25">
      <c r="I408" s="367"/>
      <c r="J408" s="367"/>
    </row>
    <row r="409" spans="9:10" x14ac:dyDescent="0.25">
      <c r="I409" s="367"/>
      <c r="J409" s="367"/>
    </row>
    <row r="410" spans="9:10" x14ac:dyDescent="0.25">
      <c r="I410" s="367"/>
      <c r="J410" s="367"/>
    </row>
    <row r="411" spans="9:10" x14ac:dyDescent="0.25">
      <c r="I411" s="367"/>
      <c r="J411" s="367"/>
    </row>
    <row r="412" spans="9:10" x14ac:dyDescent="0.25">
      <c r="I412" s="367"/>
      <c r="J412" s="367"/>
    </row>
    <row r="413" spans="9:10" x14ac:dyDescent="0.25">
      <c r="I413" s="367"/>
      <c r="J413" s="367"/>
    </row>
    <row r="414" spans="9:10" x14ac:dyDescent="0.25">
      <c r="I414" s="367"/>
      <c r="J414" s="367"/>
    </row>
    <row r="415" spans="9:10" x14ac:dyDescent="0.25">
      <c r="I415" s="367"/>
      <c r="J415" s="367"/>
    </row>
    <row r="416" spans="9:10" x14ac:dyDescent="0.25">
      <c r="I416" s="367"/>
      <c r="J416" s="367"/>
    </row>
    <row r="417" spans="9:10" x14ac:dyDescent="0.25">
      <c r="I417" s="367"/>
      <c r="J417" s="367"/>
    </row>
    <row r="418" spans="9:10" x14ac:dyDescent="0.25">
      <c r="I418" s="367"/>
      <c r="J418" s="367"/>
    </row>
    <row r="419" spans="9:10" x14ac:dyDescent="0.25">
      <c r="I419" s="367"/>
      <c r="J419" s="367"/>
    </row>
    <row r="420" spans="9:10" x14ac:dyDescent="0.25">
      <c r="I420" s="367"/>
      <c r="J420" s="367"/>
    </row>
    <row r="421" spans="9:10" x14ac:dyDescent="0.25">
      <c r="I421" s="367"/>
      <c r="J421" s="367"/>
    </row>
    <row r="422" spans="9:10" x14ac:dyDescent="0.25">
      <c r="I422" s="367"/>
      <c r="J422" s="367"/>
    </row>
    <row r="423" spans="9:10" x14ac:dyDescent="0.25">
      <c r="I423" s="367"/>
      <c r="J423" s="367"/>
    </row>
    <row r="424" spans="9:10" x14ac:dyDescent="0.25">
      <c r="I424" s="367"/>
      <c r="J424" s="367"/>
    </row>
    <row r="425" spans="9:10" x14ac:dyDescent="0.25">
      <c r="I425" s="367"/>
      <c r="J425" s="367"/>
    </row>
    <row r="426" spans="9:10" x14ac:dyDescent="0.25">
      <c r="I426" s="367"/>
      <c r="J426" s="367"/>
    </row>
    <row r="427" spans="9:10" x14ac:dyDescent="0.25">
      <c r="I427" s="367"/>
      <c r="J427" s="367"/>
    </row>
    <row r="428" spans="9:10" x14ac:dyDescent="0.25">
      <c r="I428" s="367"/>
      <c r="J428" s="367"/>
    </row>
    <row r="429" spans="9:10" x14ac:dyDescent="0.25">
      <c r="I429" s="367"/>
      <c r="J429" s="367"/>
    </row>
    <row r="430" spans="9:10" x14ac:dyDescent="0.25">
      <c r="I430" s="367"/>
      <c r="J430" s="367"/>
    </row>
    <row r="431" spans="9:10" x14ac:dyDescent="0.25">
      <c r="I431" s="367"/>
      <c r="J431" s="367"/>
    </row>
    <row r="432" spans="9:10" x14ac:dyDescent="0.25">
      <c r="I432" s="367"/>
      <c r="J432" s="367"/>
    </row>
    <row r="433" spans="9:10" x14ac:dyDescent="0.25">
      <c r="I433" s="367"/>
      <c r="J433" s="367"/>
    </row>
    <row r="434" spans="9:10" x14ac:dyDescent="0.25">
      <c r="I434" s="367"/>
      <c r="J434" s="367"/>
    </row>
    <row r="435" spans="9:10" x14ac:dyDescent="0.25">
      <c r="I435" s="367"/>
      <c r="J435" s="367"/>
    </row>
    <row r="436" spans="9:10" x14ac:dyDescent="0.25">
      <c r="I436" s="367"/>
      <c r="J436" s="367"/>
    </row>
    <row r="437" spans="9:10" x14ac:dyDescent="0.25">
      <c r="I437" s="367"/>
      <c r="J437" s="367"/>
    </row>
    <row r="438" spans="9:10" x14ac:dyDescent="0.25">
      <c r="I438" s="367"/>
      <c r="J438" s="367"/>
    </row>
    <row r="439" spans="9:10" x14ac:dyDescent="0.25">
      <c r="I439" s="367"/>
      <c r="J439" s="367"/>
    </row>
    <row r="440" spans="9:10" x14ac:dyDescent="0.25">
      <c r="I440" s="367"/>
      <c r="J440" s="367"/>
    </row>
    <row r="441" spans="9:10" x14ac:dyDescent="0.25">
      <c r="I441" s="367"/>
      <c r="J441" s="367"/>
    </row>
    <row r="442" spans="9:10" x14ac:dyDescent="0.25">
      <c r="I442" s="367"/>
      <c r="J442" s="367"/>
    </row>
    <row r="443" spans="9:10" x14ac:dyDescent="0.25">
      <c r="I443" s="367"/>
      <c r="J443" s="367"/>
    </row>
    <row r="444" spans="9:10" x14ac:dyDescent="0.25">
      <c r="I444" s="367"/>
      <c r="J444" s="367"/>
    </row>
    <row r="445" spans="9:10" x14ac:dyDescent="0.25">
      <c r="I445" s="367"/>
      <c r="J445" s="367"/>
    </row>
    <row r="446" spans="9:10" x14ac:dyDescent="0.25">
      <c r="I446" s="367"/>
      <c r="J446" s="367"/>
    </row>
    <row r="447" spans="9:10" x14ac:dyDescent="0.25">
      <c r="I447" s="367"/>
      <c r="J447" s="367"/>
    </row>
    <row r="448" spans="9:10" x14ac:dyDescent="0.25">
      <c r="I448" s="367"/>
      <c r="J448" s="367"/>
    </row>
    <row r="449" spans="9:10" x14ac:dyDescent="0.25">
      <c r="I449" s="367"/>
      <c r="J449" s="367"/>
    </row>
    <row r="450" spans="9:10" x14ac:dyDescent="0.25">
      <c r="I450" s="367"/>
      <c r="J450" s="367"/>
    </row>
    <row r="451" spans="9:10" x14ac:dyDescent="0.25">
      <c r="I451" s="367"/>
      <c r="J451" s="367"/>
    </row>
    <row r="452" spans="9:10" x14ac:dyDescent="0.25">
      <c r="I452" s="367"/>
      <c r="J452" s="367"/>
    </row>
  </sheetData>
  <mergeCells count="2">
    <mergeCell ref="C1:E1"/>
    <mergeCell ref="F1:J1"/>
  </mergeCells>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kument" ma:contentTypeID="0x010100085EA2209D02404D9B4F3D251D9D9397" ma:contentTypeVersion="2" ma:contentTypeDescription="Skapa ett nytt dokument." ma:contentTypeScope="" ma:versionID="d3fb86b1b95eb9a7fbb7e733897f427c">
  <xsd:schema xmlns:xsd="http://www.w3.org/2001/XMLSchema" xmlns:xs="http://www.w3.org/2001/XMLSchema" xmlns:p="http://schemas.microsoft.com/office/2006/metadata/properties" xmlns:ns1="http://schemas.microsoft.com/sharepoint/v3" xmlns:ns2="755f3107-ef21-4291-855e-7dce3d15d77d" targetNamespace="http://schemas.microsoft.com/office/2006/metadata/properties" ma:root="true" ma:fieldsID="f8c583b3ad2854cd17b62a26e44fa4b0" ns1:_="" ns2:_="">
    <xsd:import namespace="http://schemas.microsoft.com/sharepoint/v3"/>
    <xsd:import namespace="755f3107-ef21-4291-855e-7dce3d15d77d"/>
    <xsd:element name="properties">
      <xsd:complexType>
        <xsd:sequence>
          <xsd:element name="documentManagement">
            <xsd:complexType>
              <xsd:all>
                <xsd:element ref="ns1:PublishingStartDate" minOccurs="0"/>
                <xsd:element ref="ns1:PublishingExpirationDate" minOccurs="0"/>
                <xsd:element ref="ns2:sido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malagt startdatum" ma:description="" ma:hidden="true" ma:internalName="PublishingStartDate">
      <xsd:simpleType>
        <xsd:restriction base="dms:Unknown"/>
      </xsd:simpleType>
    </xsd:element>
    <xsd:element name="PublishingExpirationDate" ma:index="9" nillable="true" ma:displayName="Schemalagt slutdatum"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55f3107-ef21-4291-855e-7dce3d15d77d" elementFormDefault="qualified">
    <xsd:import namespace="http://schemas.microsoft.com/office/2006/documentManagement/types"/>
    <xsd:import namespace="http://schemas.microsoft.com/office/infopath/2007/PartnerControls"/>
    <xsd:element name="sidor" ma:index="10" ma:displayName="sidor" ma:default="Lathund" ma:format="Dropdown" ma:internalName="sidor">
      <xsd:simpleType>
        <xsd:restriction base="dms:Choice">
          <xsd:enumeration value="Lathund"/>
          <xsd:enumeration value="Tidbok"/>
          <xsd:enumeration value="Vårdv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idor xmlns="755f3107-ef21-4291-855e-7dce3d15d77d">Vårdval</sidor>
    <PublishingExpirationDate xmlns="http://schemas.microsoft.com/sharepoint/v3" xsi:nil="true"/>
    <PublishingStartDate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330FBD-F6C0-41F1-821C-B3342D50C1DF}">
  <ds:schemaRefs>
    <ds:schemaRef ds:uri="http://schemas.microsoft.com/sharepoint/events"/>
  </ds:schemaRefs>
</ds:datastoreItem>
</file>

<file path=customXml/itemProps2.xml><?xml version="1.0" encoding="utf-8"?>
<ds:datastoreItem xmlns:ds="http://schemas.openxmlformats.org/officeDocument/2006/customXml" ds:itemID="{66054F14-7F89-41EC-AC33-43D7499548AC}"/>
</file>

<file path=customXml/itemProps3.xml><?xml version="1.0" encoding="utf-8"?>
<ds:datastoreItem xmlns:ds="http://schemas.openxmlformats.org/officeDocument/2006/customXml" ds:itemID="{EC97B4C4-27C9-4244-8A02-397EA410BB02}"/>
</file>

<file path=customXml/itemProps4.xml><?xml version="1.0" encoding="utf-8"?>
<ds:datastoreItem xmlns:ds="http://schemas.openxmlformats.org/officeDocument/2006/customXml" ds:itemID="{839BFA10-9E3A-4684-A411-9153AAF149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UR 1 2016 1177 Vårdguidens e-tj</vt:lpstr>
      <vt:lpstr>Resultat mottagningsnivå</vt:lpstr>
      <vt:lpstr>Antal ärenden in</vt:lpstr>
      <vt:lpstr>Vårdval per mottagning</vt:lpstr>
    </vt:vector>
  </TitlesOfParts>
  <Company>Landstinget Halland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Brunefjäll Maria NSVH STAB</dc:creator>
  <cp:lastModifiedBy>Rönneholm Anna NSVH VC ÅSA</cp:lastModifiedBy>
  <cp:lastPrinted>2016-01-15T11:17:32Z</cp:lastPrinted>
  <dcterms:created xsi:type="dcterms:W3CDTF">2015-04-29T16:36:32Z</dcterms:created>
  <dcterms:modified xsi:type="dcterms:W3CDTF">2016-05-24T05:29:05Z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0x010100085EA2209D02404D9B4F3D251D9D9397</vt:lpwstr>
  </property>
  <property fmtid="{D5CDD505-2E9C-101B-9397-08002B2CF9AE}" pid="3" name="_dlc_DocIdItemGuid">
    <vt:lpwstr>faa89b93-f3a3-404f-b8bd-33037ac250ab</vt:lpwstr>
  </property>
</Properties>
</file>